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K:\SASD\25CAFR\GASB 75 Templates\"/>
    </mc:Choice>
  </mc:AlternateContent>
  <xr:revisionPtr revIDLastSave="0" documentId="8_{15B4FBFB-47F2-492A-8324-97E653DC1D8B}" xr6:coauthVersionLast="47" xr6:coauthVersionMax="47" xr10:uidLastSave="{00000000-0000-0000-0000-000000000000}"/>
  <bookViews>
    <workbookView xWindow="-73275" yWindow="0" windowWidth="34860" windowHeight="20985" tabRatio="824" xr2:uid="{00000000-000D-0000-FFFF-FFFF00000000}"/>
  </bookViews>
  <sheets>
    <sheet name="Info" sheetId="5" r:id="rId1"/>
    <sheet name="Detail" sheetId="1" r:id="rId2"/>
    <sheet name="Summary" sheetId="2" r:id="rId3"/>
    <sheet name="Disclosures" sheetId="3" r:id="rId4"/>
    <sheet name="Data" sheetId="4" state="hidden" r:id="rId5"/>
    <sheet name="ER Contributions" sheetId="6" state="hidden" r:id="rId6"/>
    <sheet name="75 - Summary Exhibit" sheetId="9" state="hidden" r:id="rId7"/>
    <sheet name="75- Deferred Amortization" sheetId="10" state="hidden" r:id="rId8"/>
    <sheet name="Noncap Contr Alloc" sheetId="11" state="hidden" r:id="rId9"/>
    <sheet name="CU_RHBFamts" sheetId="12" state="hidden" r:id="rId10"/>
  </sheets>
  <definedNames>
    <definedName name="_xlnm.Print_Area" localSheetId="6">'75 - Summary Exhibit'!$A$1:$N$3</definedName>
    <definedName name="_xlnm.Print_Area" localSheetId="7">'75- Deferred Amortization'!$A$1:$F$315</definedName>
    <definedName name="_xlnm.Print_Area" localSheetId="4">Data!$A$1:$AK$88</definedName>
    <definedName name="_xlnm.Print_Area" localSheetId="1">Detail!$A$1:$G$63</definedName>
    <definedName name="_xlnm.Print_Area" localSheetId="3">Disclosures!$A$6:$J$75</definedName>
    <definedName name="_xlnm.Print_Area" localSheetId="5">'ER Contributions'!$A$1:$D$307</definedName>
    <definedName name="_xlnm.Print_Area" localSheetId="2">Summary!$A$1:$I$24</definedName>
    <definedName name="_xlnm.Print_Titles" localSheetId="7">'75- Deferred Amortization'!$2:$3</definedName>
    <definedName name="_xlnm.Print_Titles" localSheetId="3">Disclosures!$1:$4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2" l="1"/>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D2" i="12"/>
  <c r="C2" i="12"/>
  <c r="G317" i="10" l="1"/>
  <c r="D317" i="10"/>
  <c r="E317" i="10"/>
  <c r="F317" i="10"/>
  <c r="C317" i="10"/>
  <c r="F289" i="6"/>
  <c r="F50" i="6"/>
  <c r="F29" i="6"/>
  <c r="N5" i="9" l="1"/>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4" i="9"/>
  <c r="O5" i="9" l="1"/>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00" i="9"/>
  <c r="O201" i="9"/>
  <c r="O202" i="9"/>
  <c r="O203" i="9"/>
  <c r="O204" i="9"/>
  <c r="O205" i="9"/>
  <c r="O206" i="9"/>
  <c r="O207" i="9"/>
  <c r="O208" i="9"/>
  <c r="O209" i="9"/>
  <c r="O210" i="9"/>
  <c r="O211" i="9"/>
  <c r="O212" i="9"/>
  <c r="O213" i="9"/>
  <c r="O214" i="9"/>
  <c r="O215" i="9"/>
  <c r="O216" i="9"/>
  <c r="O217" i="9"/>
  <c r="O218" i="9"/>
  <c r="O219" i="9"/>
  <c r="O220" i="9"/>
  <c r="O221" i="9"/>
  <c r="O222" i="9"/>
  <c r="O223" i="9"/>
  <c r="O224" i="9"/>
  <c r="O225" i="9"/>
  <c r="O226" i="9"/>
  <c r="O227" i="9"/>
  <c r="O228" i="9"/>
  <c r="O229" i="9"/>
  <c r="O230" i="9"/>
  <c r="O231" i="9"/>
  <c r="O232" i="9"/>
  <c r="O233" i="9"/>
  <c r="O234" i="9"/>
  <c r="O235" i="9"/>
  <c r="O236" i="9"/>
  <c r="O237" i="9"/>
  <c r="O238" i="9"/>
  <c r="O239" i="9"/>
  <c r="O240" i="9"/>
  <c r="O241" i="9"/>
  <c r="O242" i="9"/>
  <c r="O243" i="9"/>
  <c r="O244" i="9"/>
  <c r="O245" i="9"/>
  <c r="O246" i="9"/>
  <c r="O247" i="9"/>
  <c r="O248" i="9"/>
  <c r="O249" i="9"/>
  <c r="O250" i="9"/>
  <c r="O251" i="9"/>
  <c r="O252" i="9"/>
  <c r="O253" i="9"/>
  <c r="O254" i="9"/>
  <c r="O255" i="9"/>
  <c r="O256" i="9"/>
  <c r="O257" i="9"/>
  <c r="O258" i="9"/>
  <c r="O259" i="9"/>
  <c r="O260" i="9"/>
  <c r="O261" i="9"/>
  <c r="O262" i="9"/>
  <c r="O263" i="9"/>
  <c r="O264" i="9"/>
  <c r="O265" i="9"/>
  <c r="O266" i="9"/>
  <c r="O267" i="9"/>
  <c r="O268" i="9"/>
  <c r="O269" i="9"/>
  <c r="O270" i="9"/>
  <c r="O271" i="9"/>
  <c r="O272" i="9"/>
  <c r="O273" i="9"/>
  <c r="O274" i="9"/>
  <c r="O275" i="9"/>
  <c r="O276" i="9"/>
  <c r="O277" i="9"/>
  <c r="O278" i="9"/>
  <c r="O279" i="9"/>
  <c r="O280" i="9"/>
  <c r="O281" i="9"/>
  <c r="O282" i="9"/>
  <c r="O283" i="9"/>
  <c r="O284" i="9"/>
  <c r="O285" i="9"/>
  <c r="O286" i="9"/>
  <c r="O287" i="9"/>
  <c r="O288" i="9"/>
  <c r="O289" i="9"/>
  <c r="O290" i="9"/>
  <c r="O291" i="9"/>
  <c r="O292" i="9"/>
  <c r="O293" i="9"/>
  <c r="O294" i="9"/>
  <c r="O295" i="9"/>
  <c r="O296" i="9"/>
  <c r="O297" i="9"/>
  <c r="O298" i="9"/>
  <c r="O299" i="9"/>
  <c r="O300" i="9"/>
  <c r="O301" i="9"/>
  <c r="O302" i="9"/>
  <c r="O303" i="9"/>
  <c r="O304" i="9"/>
  <c r="O305" i="9"/>
  <c r="O306" i="9"/>
  <c r="O307" i="9"/>
  <c r="O308" i="9"/>
  <c r="O309" i="9"/>
  <c r="O310" i="9"/>
  <c r="O311" i="9"/>
  <c r="O312" i="9"/>
  <c r="O313" i="9"/>
  <c r="O315" i="9"/>
  <c r="O4" i="9"/>
  <c r="D84" i="12" l="1"/>
  <c r="C84" i="12"/>
  <c r="G315" i="10" l="1"/>
  <c r="C314" i="11"/>
  <c r="Z4" i="4" l="1"/>
  <c r="Z5" i="4"/>
  <c r="B10" i="5" l="1"/>
  <c r="C5" i="1" l="1"/>
  <c r="C6" i="2"/>
  <c r="Z83" i="4"/>
  <c r="Z81" i="4"/>
  <c r="Z84" i="4"/>
  <c r="Z85" i="4"/>
  <c r="Z82"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6" i="4"/>
  <c r="Z7" i="4"/>
  <c r="Z8" i="4"/>
  <c r="Z9" i="4"/>
  <c r="Z10" i="4"/>
  <c r="Z11" i="4"/>
  <c r="Z12" i="4"/>
  <c r="Z13" i="4"/>
  <c r="D314" i="9" l="1"/>
  <c r="D316" i="9" s="1"/>
  <c r="E314" i="9"/>
  <c r="E316" i="9" s="1"/>
  <c r="F314" i="9"/>
  <c r="F316" i="9" s="1"/>
  <c r="G314" i="9"/>
  <c r="G316" i="9" s="1"/>
  <c r="H314" i="9"/>
  <c r="I314" i="9"/>
  <c r="I316" i="9" s="1"/>
  <c r="J314" i="9"/>
  <c r="J316" i="9" s="1"/>
  <c r="K314" i="9"/>
  <c r="K316" i="9" s="1"/>
  <c r="L314" i="9"/>
  <c r="L316" i="9" s="1"/>
  <c r="M314" i="9"/>
  <c r="M316" i="9" s="1"/>
  <c r="C314" i="9"/>
  <c r="C316" i="9" s="1"/>
  <c r="H316" i="9" l="1"/>
  <c r="O316" i="9" s="1"/>
  <c r="O314" i="9"/>
  <c r="Z88" i="4"/>
  <c r="Z87" i="4"/>
  <c r="Z86" i="4"/>
  <c r="D307" i="6" l="1"/>
  <c r="D309" i="6" s="1"/>
  <c r="R4" i="4" l="1"/>
  <c r="I5" i="4" l="1"/>
  <c r="AM5" i="4" s="1"/>
  <c r="N314" i="9" l="1"/>
  <c r="N316" i="9" s="1"/>
  <c r="C307" i="6"/>
  <c r="U5" i="4" l="1"/>
  <c r="T5" i="4"/>
  <c r="S5" i="4"/>
  <c r="R5" i="4"/>
  <c r="Q5" i="4"/>
  <c r="O5" i="4"/>
  <c r="N5" i="4"/>
  <c r="M5" i="4"/>
  <c r="AN5" i="4" s="1"/>
  <c r="J5" i="4"/>
  <c r="AP5" i="4" s="1"/>
  <c r="H5" i="4"/>
  <c r="AQ5" i="4" s="1"/>
  <c r="G5" i="4"/>
  <c r="AT5" i="4" s="1"/>
  <c r="E5" i="4"/>
  <c r="AS5" i="4" s="1"/>
  <c r="AV5" i="4" s="1"/>
  <c r="C5" i="4" l="1"/>
  <c r="H58" i="1" l="1"/>
  <c r="Q81" i="4" l="1"/>
  <c r="R81" i="4"/>
  <c r="S81" i="4"/>
  <c r="T81" i="4"/>
  <c r="U81" i="4"/>
  <c r="Q82" i="4"/>
  <c r="R82" i="4"/>
  <c r="S82" i="4"/>
  <c r="T82" i="4"/>
  <c r="U82" i="4"/>
  <c r="Q83" i="4"/>
  <c r="R83" i="4"/>
  <c r="S83" i="4"/>
  <c r="T83" i="4"/>
  <c r="U83" i="4"/>
  <c r="Q84" i="4"/>
  <c r="R84" i="4"/>
  <c r="S84" i="4"/>
  <c r="T84" i="4"/>
  <c r="U84" i="4"/>
  <c r="Q85" i="4"/>
  <c r="R85" i="4"/>
  <c r="S85" i="4"/>
  <c r="T85" i="4"/>
  <c r="U85" i="4"/>
  <c r="O81" i="4"/>
  <c r="O82" i="4"/>
  <c r="O83" i="4"/>
  <c r="O84" i="4"/>
  <c r="O85" i="4"/>
  <c r="C81" i="4"/>
  <c r="D81" i="4"/>
  <c r="E81" i="4"/>
  <c r="F81" i="4"/>
  <c r="G81" i="4"/>
  <c r="AT81" i="4" s="1"/>
  <c r="H81" i="4"/>
  <c r="AQ81" i="4" s="1"/>
  <c r="I81" i="4"/>
  <c r="J81" i="4"/>
  <c r="AP81" i="4" s="1"/>
  <c r="K81" i="4"/>
  <c r="AU81" i="4" s="1"/>
  <c r="L81" i="4"/>
  <c r="AR81" i="4" s="1"/>
  <c r="M81" i="4"/>
  <c r="N81" i="4"/>
  <c r="C82" i="4"/>
  <c r="D82" i="4"/>
  <c r="E82" i="4"/>
  <c r="AS82" i="4" s="1"/>
  <c r="AV82" i="4" s="1"/>
  <c r="F82" i="4"/>
  <c r="G82" i="4"/>
  <c r="AT82" i="4" s="1"/>
  <c r="H82" i="4"/>
  <c r="AQ82" i="4" s="1"/>
  <c r="I82" i="4"/>
  <c r="J82" i="4"/>
  <c r="AP82" i="4" s="1"/>
  <c r="K82" i="4"/>
  <c r="AU82" i="4" s="1"/>
  <c r="L82" i="4"/>
  <c r="AR82" i="4" s="1"/>
  <c r="M82" i="4"/>
  <c r="N82" i="4"/>
  <c r="C83" i="4"/>
  <c r="D83" i="4"/>
  <c r="E83" i="4"/>
  <c r="AS83" i="4" s="1"/>
  <c r="AV83" i="4" s="1"/>
  <c r="F83" i="4"/>
  <c r="G83" i="4"/>
  <c r="AT83" i="4" s="1"/>
  <c r="H83" i="4"/>
  <c r="AQ83" i="4" s="1"/>
  <c r="I83" i="4"/>
  <c r="J83" i="4"/>
  <c r="AP83" i="4" s="1"/>
  <c r="K83" i="4"/>
  <c r="AU83" i="4" s="1"/>
  <c r="L83" i="4"/>
  <c r="AR83" i="4" s="1"/>
  <c r="M83" i="4"/>
  <c r="N83" i="4"/>
  <c r="C84" i="4"/>
  <c r="D84" i="4"/>
  <c r="E84" i="4"/>
  <c r="AS84" i="4" s="1"/>
  <c r="AV84" i="4" s="1"/>
  <c r="F84" i="4"/>
  <c r="G84" i="4"/>
  <c r="AT84" i="4" s="1"/>
  <c r="H84" i="4"/>
  <c r="AQ84" i="4" s="1"/>
  <c r="I84" i="4"/>
  <c r="J84" i="4"/>
  <c r="AP84" i="4" s="1"/>
  <c r="K84" i="4"/>
  <c r="AU84" i="4" s="1"/>
  <c r="L84" i="4"/>
  <c r="AR84" i="4" s="1"/>
  <c r="M84" i="4"/>
  <c r="N84" i="4"/>
  <c r="C85" i="4"/>
  <c r="D85" i="4"/>
  <c r="E85" i="4"/>
  <c r="AS85" i="4" s="1"/>
  <c r="AV85" i="4" s="1"/>
  <c r="F85" i="4"/>
  <c r="G85" i="4"/>
  <c r="AT85" i="4" s="1"/>
  <c r="H85" i="4"/>
  <c r="AQ85" i="4" s="1"/>
  <c r="I85" i="4"/>
  <c r="J85" i="4"/>
  <c r="AP85" i="4" s="1"/>
  <c r="K85" i="4"/>
  <c r="AU85" i="4" s="1"/>
  <c r="L85" i="4"/>
  <c r="AR85" i="4" s="1"/>
  <c r="M85" i="4"/>
  <c r="N85" i="4"/>
  <c r="P81" i="4" l="1"/>
  <c r="V81" i="4" s="1"/>
  <c r="P85" i="4"/>
  <c r="V85" i="4" s="1"/>
  <c r="AS81" i="4"/>
  <c r="AV81" i="4" s="1"/>
  <c r="AO85" i="4"/>
  <c r="AO83" i="4"/>
  <c r="AO81" i="4"/>
  <c r="AO84" i="4"/>
  <c r="AO82" i="4"/>
  <c r="P84" i="4"/>
  <c r="V84" i="4" s="1"/>
  <c r="P83" i="4"/>
  <c r="V83" i="4" s="1"/>
  <c r="P82" i="4"/>
  <c r="V82" i="4" s="1"/>
  <c r="W85" i="4"/>
  <c r="W84" i="4"/>
  <c r="W82" i="4"/>
  <c r="W83" i="4"/>
  <c r="W81" i="4"/>
  <c r="D25" i="3" l="1"/>
  <c r="Q57" i="4" l="1"/>
  <c r="R57" i="4"/>
  <c r="S57" i="4"/>
  <c r="T57" i="4"/>
  <c r="U57" i="4"/>
  <c r="Q58" i="4"/>
  <c r="R58" i="4"/>
  <c r="S58" i="4"/>
  <c r="T58" i="4"/>
  <c r="U58" i="4"/>
  <c r="Q59" i="4"/>
  <c r="R59" i="4"/>
  <c r="S59" i="4"/>
  <c r="T59" i="4"/>
  <c r="U59" i="4"/>
  <c r="Q60" i="4"/>
  <c r="R60" i="4"/>
  <c r="S60" i="4"/>
  <c r="T60" i="4"/>
  <c r="U60" i="4"/>
  <c r="Q61" i="4"/>
  <c r="R61" i="4"/>
  <c r="S61" i="4"/>
  <c r="T61" i="4"/>
  <c r="U61" i="4"/>
  <c r="Q62" i="4"/>
  <c r="R62" i="4"/>
  <c r="S62" i="4"/>
  <c r="T62" i="4"/>
  <c r="U62" i="4"/>
  <c r="Q63" i="4"/>
  <c r="R63" i="4"/>
  <c r="S63" i="4"/>
  <c r="T63" i="4"/>
  <c r="U63" i="4"/>
  <c r="Q64" i="4"/>
  <c r="R64" i="4"/>
  <c r="S64" i="4"/>
  <c r="T64" i="4"/>
  <c r="U64" i="4"/>
  <c r="Q65" i="4"/>
  <c r="R65" i="4"/>
  <c r="S65" i="4"/>
  <c r="T65" i="4"/>
  <c r="U65" i="4"/>
  <c r="Q66" i="4"/>
  <c r="R66" i="4"/>
  <c r="S66" i="4"/>
  <c r="T66" i="4"/>
  <c r="U66" i="4"/>
  <c r="Q67" i="4"/>
  <c r="R67" i="4"/>
  <c r="S67" i="4"/>
  <c r="T67" i="4"/>
  <c r="U67" i="4"/>
  <c r="Q68" i="4"/>
  <c r="R68" i="4"/>
  <c r="S68" i="4"/>
  <c r="T68" i="4"/>
  <c r="U68" i="4"/>
  <c r="Q69" i="4"/>
  <c r="R69" i="4"/>
  <c r="S69" i="4"/>
  <c r="T69" i="4"/>
  <c r="U69" i="4"/>
  <c r="Q70" i="4"/>
  <c r="R70" i="4"/>
  <c r="S70" i="4"/>
  <c r="T70" i="4"/>
  <c r="U70" i="4"/>
  <c r="Q71" i="4"/>
  <c r="R71" i="4"/>
  <c r="S71" i="4"/>
  <c r="T71" i="4"/>
  <c r="U71" i="4"/>
  <c r="Q72" i="4"/>
  <c r="R72" i="4"/>
  <c r="S72" i="4"/>
  <c r="T72" i="4"/>
  <c r="U72" i="4"/>
  <c r="Q73" i="4"/>
  <c r="R73" i="4"/>
  <c r="S73" i="4"/>
  <c r="T73" i="4"/>
  <c r="U73" i="4"/>
  <c r="Q74" i="4"/>
  <c r="R74" i="4"/>
  <c r="S74" i="4"/>
  <c r="T74" i="4"/>
  <c r="U74" i="4"/>
  <c r="Q75" i="4"/>
  <c r="R75" i="4"/>
  <c r="S75" i="4"/>
  <c r="T75" i="4"/>
  <c r="U75" i="4"/>
  <c r="Q76" i="4"/>
  <c r="R76" i="4"/>
  <c r="S76" i="4"/>
  <c r="T76" i="4"/>
  <c r="U76" i="4"/>
  <c r="Q77" i="4"/>
  <c r="R77" i="4"/>
  <c r="S77" i="4"/>
  <c r="T77" i="4"/>
  <c r="U77" i="4"/>
  <c r="Q78" i="4"/>
  <c r="R78" i="4"/>
  <c r="S78" i="4"/>
  <c r="T78" i="4"/>
  <c r="U78" i="4"/>
  <c r="Q79" i="4"/>
  <c r="R79" i="4"/>
  <c r="S79" i="4"/>
  <c r="T79" i="4"/>
  <c r="U79" i="4"/>
  <c r="Q80" i="4"/>
  <c r="R80" i="4"/>
  <c r="S80" i="4"/>
  <c r="T80" i="4"/>
  <c r="U80" i="4"/>
  <c r="Q31" i="4"/>
  <c r="R31" i="4"/>
  <c r="S31" i="4"/>
  <c r="T31" i="4"/>
  <c r="U31" i="4"/>
  <c r="Q32" i="4"/>
  <c r="R32" i="4"/>
  <c r="S32" i="4"/>
  <c r="T32" i="4"/>
  <c r="U32" i="4"/>
  <c r="Q33" i="4"/>
  <c r="R33" i="4"/>
  <c r="S33" i="4"/>
  <c r="T33" i="4"/>
  <c r="U33" i="4"/>
  <c r="Q34" i="4"/>
  <c r="R34" i="4"/>
  <c r="S34" i="4"/>
  <c r="T34" i="4"/>
  <c r="U34" i="4"/>
  <c r="Q35" i="4"/>
  <c r="R35" i="4"/>
  <c r="S35" i="4"/>
  <c r="T35" i="4"/>
  <c r="U35" i="4"/>
  <c r="Q36" i="4"/>
  <c r="R36" i="4"/>
  <c r="S36" i="4"/>
  <c r="T36" i="4"/>
  <c r="U36" i="4"/>
  <c r="Q37" i="4"/>
  <c r="R37" i="4"/>
  <c r="S37" i="4"/>
  <c r="T37" i="4"/>
  <c r="U37" i="4"/>
  <c r="Q38" i="4"/>
  <c r="R38" i="4"/>
  <c r="S38" i="4"/>
  <c r="T38" i="4"/>
  <c r="U38" i="4"/>
  <c r="Q39" i="4"/>
  <c r="R39" i="4"/>
  <c r="S39" i="4"/>
  <c r="T39" i="4"/>
  <c r="U39" i="4"/>
  <c r="Q40" i="4"/>
  <c r="R40" i="4"/>
  <c r="S40" i="4"/>
  <c r="T40" i="4"/>
  <c r="U40" i="4"/>
  <c r="Q41" i="4"/>
  <c r="R41" i="4"/>
  <c r="S41" i="4"/>
  <c r="T41" i="4"/>
  <c r="U41" i="4"/>
  <c r="Q42" i="4"/>
  <c r="R42" i="4"/>
  <c r="S42" i="4"/>
  <c r="T42" i="4"/>
  <c r="U42" i="4"/>
  <c r="Q43" i="4"/>
  <c r="R43" i="4"/>
  <c r="S43" i="4"/>
  <c r="T43" i="4"/>
  <c r="U43" i="4"/>
  <c r="Q44" i="4"/>
  <c r="R44" i="4"/>
  <c r="S44" i="4"/>
  <c r="T44" i="4"/>
  <c r="U44" i="4"/>
  <c r="Q45" i="4"/>
  <c r="R45" i="4"/>
  <c r="S45" i="4"/>
  <c r="T45" i="4"/>
  <c r="U45" i="4"/>
  <c r="Q46" i="4"/>
  <c r="R46" i="4"/>
  <c r="S46" i="4"/>
  <c r="T46" i="4"/>
  <c r="U46" i="4"/>
  <c r="Q47" i="4"/>
  <c r="R47" i="4"/>
  <c r="S47" i="4"/>
  <c r="T47" i="4"/>
  <c r="U47" i="4"/>
  <c r="Q48" i="4"/>
  <c r="R48" i="4"/>
  <c r="S48" i="4"/>
  <c r="T48" i="4"/>
  <c r="U48" i="4"/>
  <c r="Q49" i="4"/>
  <c r="R49" i="4"/>
  <c r="S49" i="4"/>
  <c r="T49" i="4"/>
  <c r="U49" i="4"/>
  <c r="Q50" i="4"/>
  <c r="R50" i="4"/>
  <c r="S50" i="4"/>
  <c r="T50" i="4"/>
  <c r="U50" i="4"/>
  <c r="Q51" i="4"/>
  <c r="R51" i="4"/>
  <c r="S51" i="4"/>
  <c r="T51" i="4"/>
  <c r="U51" i="4"/>
  <c r="Q52" i="4"/>
  <c r="R52" i="4"/>
  <c r="S52" i="4"/>
  <c r="T52" i="4"/>
  <c r="U52" i="4"/>
  <c r="Q53" i="4"/>
  <c r="R53" i="4"/>
  <c r="S53" i="4"/>
  <c r="T53" i="4"/>
  <c r="U53" i="4"/>
  <c r="Q54" i="4"/>
  <c r="R54" i="4"/>
  <c r="S54" i="4"/>
  <c r="T54" i="4"/>
  <c r="U54" i="4"/>
  <c r="Q55" i="4"/>
  <c r="R55" i="4"/>
  <c r="S55" i="4"/>
  <c r="T55" i="4"/>
  <c r="U55" i="4"/>
  <c r="Q56" i="4"/>
  <c r="R56" i="4"/>
  <c r="S56" i="4"/>
  <c r="T56" i="4"/>
  <c r="U56" i="4"/>
  <c r="Q6" i="4"/>
  <c r="R6" i="4"/>
  <c r="S6" i="4"/>
  <c r="T6" i="4"/>
  <c r="U6" i="4"/>
  <c r="Q7" i="4"/>
  <c r="R7" i="4"/>
  <c r="S7" i="4"/>
  <c r="T7" i="4"/>
  <c r="U7" i="4"/>
  <c r="Q8" i="4"/>
  <c r="R8" i="4"/>
  <c r="S8" i="4"/>
  <c r="T8" i="4"/>
  <c r="U8" i="4"/>
  <c r="Q9" i="4"/>
  <c r="R9" i="4"/>
  <c r="S9" i="4"/>
  <c r="T9" i="4"/>
  <c r="U9" i="4"/>
  <c r="Q10" i="4"/>
  <c r="R10" i="4"/>
  <c r="S10" i="4"/>
  <c r="T10" i="4"/>
  <c r="U10" i="4"/>
  <c r="Q11" i="4"/>
  <c r="R11" i="4"/>
  <c r="S11" i="4"/>
  <c r="T11" i="4"/>
  <c r="U11" i="4"/>
  <c r="Q12" i="4"/>
  <c r="R12" i="4"/>
  <c r="S12" i="4"/>
  <c r="T12" i="4"/>
  <c r="U12" i="4"/>
  <c r="Q13" i="4"/>
  <c r="R13" i="4"/>
  <c r="S13" i="4"/>
  <c r="T13" i="4"/>
  <c r="U13" i="4"/>
  <c r="Q14" i="4"/>
  <c r="R14" i="4"/>
  <c r="S14" i="4"/>
  <c r="T14" i="4"/>
  <c r="U14" i="4"/>
  <c r="Q15" i="4"/>
  <c r="R15" i="4"/>
  <c r="S15" i="4"/>
  <c r="T15" i="4"/>
  <c r="U15" i="4"/>
  <c r="Q16" i="4"/>
  <c r="R16" i="4"/>
  <c r="S16" i="4"/>
  <c r="T16" i="4"/>
  <c r="U16" i="4"/>
  <c r="Q17" i="4"/>
  <c r="R17" i="4"/>
  <c r="S17" i="4"/>
  <c r="T17" i="4"/>
  <c r="U17" i="4"/>
  <c r="Q18" i="4"/>
  <c r="R18" i="4"/>
  <c r="S18" i="4"/>
  <c r="T18" i="4"/>
  <c r="U18" i="4"/>
  <c r="Q19" i="4"/>
  <c r="R19" i="4"/>
  <c r="S19" i="4"/>
  <c r="T19" i="4"/>
  <c r="U19" i="4"/>
  <c r="Q20" i="4"/>
  <c r="R20" i="4"/>
  <c r="S20" i="4"/>
  <c r="T20" i="4"/>
  <c r="U20" i="4"/>
  <c r="Q21" i="4"/>
  <c r="R21" i="4"/>
  <c r="S21" i="4"/>
  <c r="T21" i="4"/>
  <c r="U21" i="4"/>
  <c r="Q22" i="4"/>
  <c r="R22" i="4"/>
  <c r="S22" i="4"/>
  <c r="T22" i="4"/>
  <c r="U22" i="4"/>
  <c r="Q23" i="4"/>
  <c r="R23" i="4"/>
  <c r="S23" i="4"/>
  <c r="T23" i="4"/>
  <c r="U23" i="4"/>
  <c r="Q24" i="4"/>
  <c r="R24" i="4"/>
  <c r="S24" i="4"/>
  <c r="T24" i="4"/>
  <c r="U24" i="4"/>
  <c r="Q25" i="4"/>
  <c r="R25" i="4"/>
  <c r="S25" i="4"/>
  <c r="T25" i="4"/>
  <c r="U25" i="4"/>
  <c r="Q26" i="4"/>
  <c r="R26" i="4"/>
  <c r="S26" i="4"/>
  <c r="T26" i="4"/>
  <c r="U26" i="4"/>
  <c r="Q27" i="4"/>
  <c r="R27" i="4"/>
  <c r="S27" i="4"/>
  <c r="T27" i="4"/>
  <c r="U27" i="4"/>
  <c r="Q28" i="4"/>
  <c r="R28" i="4"/>
  <c r="S28" i="4"/>
  <c r="T28" i="4"/>
  <c r="U28" i="4"/>
  <c r="Q29" i="4"/>
  <c r="R29" i="4"/>
  <c r="S29" i="4"/>
  <c r="T29" i="4"/>
  <c r="U29" i="4"/>
  <c r="Q30" i="4"/>
  <c r="R30" i="4"/>
  <c r="S30" i="4"/>
  <c r="T30" i="4"/>
  <c r="U30" i="4"/>
  <c r="C74" i="4"/>
  <c r="D74" i="4"/>
  <c r="E74" i="4"/>
  <c r="F74" i="4"/>
  <c r="G74" i="4"/>
  <c r="AT74" i="4" s="1"/>
  <c r="H74" i="4"/>
  <c r="AQ74" i="4" s="1"/>
  <c r="I74" i="4"/>
  <c r="AM74" i="4" s="1"/>
  <c r="J74" i="4"/>
  <c r="AP74" i="4" s="1"/>
  <c r="K74" i="4"/>
  <c r="AU74" i="4" s="1"/>
  <c r="L74" i="4"/>
  <c r="AR74" i="4" s="1"/>
  <c r="M74" i="4"/>
  <c r="AN74" i="4" s="1"/>
  <c r="N74" i="4"/>
  <c r="O74" i="4"/>
  <c r="C75" i="4"/>
  <c r="D75" i="4"/>
  <c r="E75" i="4"/>
  <c r="F75" i="4"/>
  <c r="G75" i="4"/>
  <c r="AT75" i="4" s="1"/>
  <c r="H75" i="4"/>
  <c r="AQ75" i="4" s="1"/>
  <c r="I75" i="4"/>
  <c r="AM75" i="4" s="1"/>
  <c r="J75" i="4"/>
  <c r="AP75" i="4" s="1"/>
  <c r="K75" i="4"/>
  <c r="AU75" i="4" s="1"/>
  <c r="L75" i="4"/>
  <c r="AR75" i="4" s="1"/>
  <c r="M75" i="4"/>
  <c r="AN75" i="4" s="1"/>
  <c r="N75" i="4"/>
  <c r="O75" i="4"/>
  <c r="C76" i="4"/>
  <c r="D76" i="4"/>
  <c r="E76" i="4"/>
  <c r="F76" i="4"/>
  <c r="G76" i="4"/>
  <c r="AT76" i="4" s="1"/>
  <c r="H76" i="4"/>
  <c r="AQ76" i="4" s="1"/>
  <c r="I76" i="4"/>
  <c r="AM76" i="4" s="1"/>
  <c r="J76" i="4"/>
  <c r="AP76" i="4" s="1"/>
  <c r="K76" i="4"/>
  <c r="AU76" i="4" s="1"/>
  <c r="L76" i="4"/>
  <c r="AR76" i="4" s="1"/>
  <c r="M76" i="4"/>
  <c r="AN76" i="4" s="1"/>
  <c r="N76" i="4"/>
  <c r="O76" i="4"/>
  <c r="C77" i="4"/>
  <c r="D77" i="4"/>
  <c r="E77" i="4"/>
  <c r="F77" i="4"/>
  <c r="G77" i="4"/>
  <c r="AT77" i="4" s="1"/>
  <c r="H77" i="4"/>
  <c r="AQ77" i="4" s="1"/>
  <c r="I77" i="4"/>
  <c r="AM77" i="4" s="1"/>
  <c r="J77" i="4"/>
  <c r="AP77" i="4" s="1"/>
  <c r="K77" i="4"/>
  <c r="AU77" i="4" s="1"/>
  <c r="L77" i="4"/>
  <c r="AR77" i="4" s="1"/>
  <c r="M77" i="4"/>
  <c r="AN77" i="4" s="1"/>
  <c r="N77" i="4"/>
  <c r="O77" i="4"/>
  <c r="C78" i="4"/>
  <c r="D78" i="4"/>
  <c r="E78" i="4"/>
  <c r="F78" i="4"/>
  <c r="G78" i="4"/>
  <c r="AT78" i="4" s="1"/>
  <c r="H78" i="4"/>
  <c r="AQ78" i="4" s="1"/>
  <c r="I78" i="4"/>
  <c r="AM78" i="4" s="1"/>
  <c r="J78" i="4"/>
  <c r="AP78" i="4" s="1"/>
  <c r="K78" i="4"/>
  <c r="AU78" i="4" s="1"/>
  <c r="L78" i="4"/>
  <c r="AR78" i="4" s="1"/>
  <c r="M78" i="4"/>
  <c r="AN78" i="4" s="1"/>
  <c r="N78" i="4"/>
  <c r="O78" i="4"/>
  <c r="C79" i="4"/>
  <c r="D79" i="4"/>
  <c r="E79" i="4"/>
  <c r="F79" i="4"/>
  <c r="G79" i="4"/>
  <c r="AT79" i="4" s="1"/>
  <c r="H79" i="4"/>
  <c r="AQ79" i="4" s="1"/>
  <c r="I79" i="4"/>
  <c r="AM79" i="4" s="1"/>
  <c r="J79" i="4"/>
  <c r="AP79" i="4" s="1"/>
  <c r="K79" i="4"/>
  <c r="AU79" i="4" s="1"/>
  <c r="L79" i="4"/>
  <c r="AR79" i="4" s="1"/>
  <c r="M79" i="4"/>
  <c r="AN79" i="4" s="1"/>
  <c r="N79" i="4"/>
  <c r="O79" i="4"/>
  <c r="C80" i="4"/>
  <c r="D80" i="4"/>
  <c r="E80" i="4"/>
  <c r="F80" i="4"/>
  <c r="G80" i="4"/>
  <c r="AT80" i="4" s="1"/>
  <c r="H80" i="4"/>
  <c r="AQ80" i="4" s="1"/>
  <c r="I80" i="4"/>
  <c r="AM80" i="4" s="1"/>
  <c r="J80" i="4"/>
  <c r="AP80" i="4" s="1"/>
  <c r="K80" i="4"/>
  <c r="AU80" i="4" s="1"/>
  <c r="L80" i="4"/>
  <c r="AR80" i="4" s="1"/>
  <c r="M80" i="4"/>
  <c r="AN80" i="4" s="1"/>
  <c r="N80" i="4"/>
  <c r="O80" i="4"/>
  <c r="C53" i="4"/>
  <c r="D53" i="4"/>
  <c r="E53" i="4"/>
  <c r="F53" i="4"/>
  <c r="G53" i="4"/>
  <c r="AT53" i="4" s="1"/>
  <c r="H53" i="4"/>
  <c r="AQ53" i="4" s="1"/>
  <c r="I53" i="4"/>
  <c r="AM53" i="4" s="1"/>
  <c r="J53" i="4"/>
  <c r="AP53" i="4" s="1"/>
  <c r="K53" i="4"/>
  <c r="AU53" i="4" s="1"/>
  <c r="L53" i="4"/>
  <c r="AR53" i="4" s="1"/>
  <c r="M53" i="4"/>
  <c r="AN53" i="4" s="1"/>
  <c r="N53" i="4"/>
  <c r="O53" i="4"/>
  <c r="C54" i="4"/>
  <c r="D54" i="4"/>
  <c r="E54" i="4"/>
  <c r="F54" i="4"/>
  <c r="G54" i="4"/>
  <c r="AT54" i="4" s="1"/>
  <c r="H54" i="4"/>
  <c r="AQ54" i="4" s="1"/>
  <c r="I54" i="4"/>
  <c r="AM54" i="4" s="1"/>
  <c r="J54" i="4"/>
  <c r="AP54" i="4" s="1"/>
  <c r="K54" i="4"/>
  <c r="AU54" i="4" s="1"/>
  <c r="L54" i="4"/>
  <c r="AR54" i="4" s="1"/>
  <c r="M54" i="4"/>
  <c r="AN54" i="4" s="1"/>
  <c r="N54" i="4"/>
  <c r="O54" i="4"/>
  <c r="C55" i="4"/>
  <c r="D55" i="4"/>
  <c r="E55" i="4"/>
  <c r="F55" i="4"/>
  <c r="G55" i="4"/>
  <c r="AT55" i="4" s="1"/>
  <c r="H55" i="4"/>
  <c r="AQ55" i="4" s="1"/>
  <c r="I55" i="4"/>
  <c r="AM55" i="4" s="1"/>
  <c r="J55" i="4"/>
  <c r="AP55" i="4" s="1"/>
  <c r="K55" i="4"/>
  <c r="AU55" i="4" s="1"/>
  <c r="L55" i="4"/>
  <c r="AR55" i="4" s="1"/>
  <c r="M55" i="4"/>
  <c r="AN55" i="4" s="1"/>
  <c r="N55" i="4"/>
  <c r="O55" i="4"/>
  <c r="C56" i="4"/>
  <c r="D56" i="4"/>
  <c r="E56" i="4"/>
  <c r="F56" i="4"/>
  <c r="G56" i="4"/>
  <c r="AT56" i="4" s="1"/>
  <c r="H56" i="4"/>
  <c r="AQ56" i="4" s="1"/>
  <c r="I56" i="4"/>
  <c r="AM56" i="4" s="1"/>
  <c r="J56" i="4"/>
  <c r="AP56" i="4" s="1"/>
  <c r="K56" i="4"/>
  <c r="AU56" i="4" s="1"/>
  <c r="L56" i="4"/>
  <c r="AR56" i="4" s="1"/>
  <c r="M56" i="4"/>
  <c r="AN56" i="4" s="1"/>
  <c r="N56" i="4"/>
  <c r="O56" i="4"/>
  <c r="C57" i="4"/>
  <c r="D57" i="4"/>
  <c r="E57" i="4"/>
  <c r="F57" i="4"/>
  <c r="G57" i="4"/>
  <c r="AT57" i="4" s="1"/>
  <c r="H57" i="4"/>
  <c r="AQ57" i="4" s="1"/>
  <c r="I57" i="4"/>
  <c r="AM57" i="4" s="1"/>
  <c r="J57" i="4"/>
  <c r="AP57" i="4" s="1"/>
  <c r="K57" i="4"/>
  <c r="AU57" i="4" s="1"/>
  <c r="L57" i="4"/>
  <c r="AR57" i="4" s="1"/>
  <c r="M57" i="4"/>
  <c r="AN57" i="4" s="1"/>
  <c r="N57" i="4"/>
  <c r="O57" i="4"/>
  <c r="C58" i="4"/>
  <c r="D58" i="4"/>
  <c r="E58" i="4"/>
  <c r="F58" i="4"/>
  <c r="G58" i="4"/>
  <c r="AT58" i="4" s="1"/>
  <c r="H58" i="4"/>
  <c r="AQ58" i="4" s="1"/>
  <c r="I58" i="4"/>
  <c r="AM58" i="4" s="1"/>
  <c r="J58" i="4"/>
  <c r="AP58" i="4" s="1"/>
  <c r="K58" i="4"/>
  <c r="AU58" i="4" s="1"/>
  <c r="L58" i="4"/>
  <c r="AR58" i="4" s="1"/>
  <c r="M58" i="4"/>
  <c r="AN58" i="4" s="1"/>
  <c r="N58" i="4"/>
  <c r="O58" i="4"/>
  <c r="C59" i="4"/>
  <c r="D59" i="4"/>
  <c r="E59" i="4"/>
  <c r="F59" i="4"/>
  <c r="G59" i="4"/>
  <c r="AT59" i="4" s="1"/>
  <c r="H59" i="4"/>
  <c r="AQ59" i="4" s="1"/>
  <c r="I59" i="4"/>
  <c r="AM59" i="4" s="1"/>
  <c r="J59" i="4"/>
  <c r="AP59" i="4" s="1"/>
  <c r="K59" i="4"/>
  <c r="AU59" i="4" s="1"/>
  <c r="L59" i="4"/>
  <c r="AR59" i="4" s="1"/>
  <c r="M59" i="4"/>
  <c r="AN59" i="4" s="1"/>
  <c r="N59" i="4"/>
  <c r="O59" i="4"/>
  <c r="C60" i="4"/>
  <c r="D60" i="4"/>
  <c r="E60" i="4"/>
  <c r="F60" i="4"/>
  <c r="G60" i="4"/>
  <c r="AT60" i="4" s="1"/>
  <c r="H60" i="4"/>
  <c r="AQ60" i="4" s="1"/>
  <c r="I60" i="4"/>
  <c r="AM60" i="4" s="1"/>
  <c r="J60" i="4"/>
  <c r="AP60" i="4" s="1"/>
  <c r="K60" i="4"/>
  <c r="AU60" i="4" s="1"/>
  <c r="L60" i="4"/>
  <c r="AR60" i="4" s="1"/>
  <c r="M60" i="4"/>
  <c r="AN60" i="4" s="1"/>
  <c r="N60" i="4"/>
  <c r="O60" i="4"/>
  <c r="C61" i="4"/>
  <c r="D61" i="4"/>
  <c r="E61" i="4"/>
  <c r="F61" i="4"/>
  <c r="G61" i="4"/>
  <c r="AT61" i="4" s="1"/>
  <c r="H61" i="4"/>
  <c r="AQ61" i="4" s="1"/>
  <c r="I61" i="4"/>
  <c r="AM61" i="4" s="1"/>
  <c r="J61" i="4"/>
  <c r="AP61" i="4" s="1"/>
  <c r="K61" i="4"/>
  <c r="AU61" i="4" s="1"/>
  <c r="L61" i="4"/>
  <c r="AR61" i="4" s="1"/>
  <c r="M61" i="4"/>
  <c r="AN61" i="4" s="1"/>
  <c r="N61" i="4"/>
  <c r="O61" i="4"/>
  <c r="C62" i="4"/>
  <c r="D62" i="4"/>
  <c r="E62" i="4"/>
  <c r="F62" i="4"/>
  <c r="G62" i="4"/>
  <c r="AT62" i="4" s="1"/>
  <c r="H62" i="4"/>
  <c r="AQ62" i="4" s="1"/>
  <c r="I62" i="4"/>
  <c r="AM62" i="4" s="1"/>
  <c r="J62" i="4"/>
  <c r="AP62" i="4" s="1"/>
  <c r="K62" i="4"/>
  <c r="AU62" i="4" s="1"/>
  <c r="L62" i="4"/>
  <c r="AR62" i="4" s="1"/>
  <c r="M62" i="4"/>
  <c r="AN62" i="4" s="1"/>
  <c r="N62" i="4"/>
  <c r="O62" i="4"/>
  <c r="C63" i="4"/>
  <c r="D63" i="4"/>
  <c r="E63" i="4"/>
  <c r="F63" i="4"/>
  <c r="G63" i="4"/>
  <c r="AT63" i="4" s="1"/>
  <c r="H63" i="4"/>
  <c r="AQ63" i="4" s="1"/>
  <c r="I63" i="4"/>
  <c r="AM63" i="4" s="1"/>
  <c r="J63" i="4"/>
  <c r="AP63" i="4" s="1"/>
  <c r="K63" i="4"/>
  <c r="AU63" i="4" s="1"/>
  <c r="L63" i="4"/>
  <c r="AR63" i="4" s="1"/>
  <c r="M63" i="4"/>
  <c r="AN63" i="4" s="1"/>
  <c r="N63" i="4"/>
  <c r="O63" i="4"/>
  <c r="C64" i="4"/>
  <c r="D64" i="4"/>
  <c r="E64" i="4"/>
  <c r="F64" i="4"/>
  <c r="G64" i="4"/>
  <c r="AT64" i="4" s="1"/>
  <c r="H64" i="4"/>
  <c r="AQ64" i="4" s="1"/>
  <c r="I64" i="4"/>
  <c r="AM64" i="4" s="1"/>
  <c r="J64" i="4"/>
  <c r="AP64" i="4" s="1"/>
  <c r="K64" i="4"/>
  <c r="AU64" i="4" s="1"/>
  <c r="L64" i="4"/>
  <c r="AR64" i="4" s="1"/>
  <c r="M64" i="4"/>
  <c r="AN64" i="4" s="1"/>
  <c r="N64" i="4"/>
  <c r="O64" i="4"/>
  <c r="C65" i="4"/>
  <c r="D65" i="4"/>
  <c r="E65" i="4"/>
  <c r="F65" i="4"/>
  <c r="G65" i="4"/>
  <c r="AT65" i="4" s="1"/>
  <c r="H65" i="4"/>
  <c r="AQ65" i="4" s="1"/>
  <c r="I65" i="4"/>
  <c r="AM65" i="4" s="1"/>
  <c r="J65" i="4"/>
  <c r="AP65" i="4" s="1"/>
  <c r="K65" i="4"/>
  <c r="AU65" i="4" s="1"/>
  <c r="L65" i="4"/>
  <c r="AR65" i="4" s="1"/>
  <c r="M65" i="4"/>
  <c r="AN65" i="4" s="1"/>
  <c r="N65" i="4"/>
  <c r="O65" i="4"/>
  <c r="C66" i="4"/>
  <c r="D66" i="4"/>
  <c r="E66" i="4"/>
  <c r="F66" i="4"/>
  <c r="G66" i="4"/>
  <c r="AT66" i="4" s="1"/>
  <c r="H66" i="4"/>
  <c r="AQ66" i="4" s="1"/>
  <c r="I66" i="4"/>
  <c r="AM66" i="4" s="1"/>
  <c r="J66" i="4"/>
  <c r="AP66" i="4" s="1"/>
  <c r="K66" i="4"/>
  <c r="AU66" i="4" s="1"/>
  <c r="L66" i="4"/>
  <c r="AR66" i="4" s="1"/>
  <c r="M66" i="4"/>
  <c r="AN66" i="4" s="1"/>
  <c r="N66" i="4"/>
  <c r="O66" i="4"/>
  <c r="C67" i="4"/>
  <c r="D67" i="4"/>
  <c r="E67" i="4"/>
  <c r="F67" i="4"/>
  <c r="G67" i="4"/>
  <c r="AT67" i="4" s="1"/>
  <c r="H67" i="4"/>
  <c r="AQ67" i="4" s="1"/>
  <c r="I67" i="4"/>
  <c r="AM67" i="4" s="1"/>
  <c r="J67" i="4"/>
  <c r="AP67" i="4" s="1"/>
  <c r="K67" i="4"/>
  <c r="AU67" i="4" s="1"/>
  <c r="L67" i="4"/>
  <c r="AR67" i="4" s="1"/>
  <c r="M67" i="4"/>
  <c r="AN67" i="4" s="1"/>
  <c r="N67" i="4"/>
  <c r="O67" i="4"/>
  <c r="C68" i="4"/>
  <c r="D68" i="4"/>
  <c r="E68" i="4"/>
  <c r="F68" i="4"/>
  <c r="G68" i="4"/>
  <c r="AT68" i="4" s="1"/>
  <c r="H68" i="4"/>
  <c r="AQ68" i="4" s="1"/>
  <c r="I68" i="4"/>
  <c r="AM68" i="4" s="1"/>
  <c r="J68" i="4"/>
  <c r="AP68" i="4" s="1"/>
  <c r="K68" i="4"/>
  <c r="AU68" i="4" s="1"/>
  <c r="L68" i="4"/>
  <c r="AR68" i="4" s="1"/>
  <c r="M68" i="4"/>
  <c r="AN68" i="4" s="1"/>
  <c r="N68" i="4"/>
  <c r="O68" i="4"/>
  <c r="C69" i="4"/>
  <c r="D69" i="4"/>
  <c r="E69" i="4"/>
  <c r="F69" i="4"/>
  <c r="G69" i="4"/>
  <c r="AT69" i="4" s="1"/>
  <c r="H69" i="4"/>
  <c r="AQ69" i="4" s="1"/>
  <c r="I69" i="4"/>
  <c r="AM69" i="4" s="1"/>
  <c r="J69" i="4"/>
  <c r="AP69" i="4" s="1"/>
  <c r="K69" i="4"/>
  <c r="AU69" i="4" s="1"/>
  <c r="L69" i="4"/>
  <c r="AR69" i="4" s="1"/>
  <c r="M69" i="4"/>
  <c r="AN69" i="4" s="1"/>
  <c r="N69" i="4"/>
  <c r="O69" i="4"/>
  <c r="C70" i="4"/>
  <c r="D70" i="4"/>
  <c r="E70" i="4"/>
  <c r="F70" i="4"/>
  <c r="G70" i="4"/>
  <c r="AT70" i="4" s="1"/>
  <c r="H70" i="4"/>
  <c r="AQ70" i="4" s="1"/>
  <c r="I70" i="4"/>
  <c r="AM70" i="4" s="1"/>
  <c r="J70" i="4"/>
  <c r="AP70" i="4" s="1"/>
  <c r="K70" i="4"/>
  <c r="AU70" i="4" s="1"/>
  <c r="L70" i="4"/>
  <c r="AR70" i="4" s="1"/>
  <c r="M70" i="4"/>
  <c r="AN70" i="4" s="1"/>
  <c r="N70" i="4"/>
  <c r="O70" i="4"/>
  <c r="C71" i="4"/>
  <c r="D71" i="4"/>
  <c r="E71" i="4"/>
  <c r="F71" i="4"/>
  <c r="G71" i="4"/>
  <c r="AT71" i="4" s="1"/>
  <c r="H71" i="4"/>
  <c r="AQ71" i="4" s="1"/>
  <c r="I71" i="4"/>
  <c r="AM71" i="4" s="1"/>
  <c r="J71" i="4"/>
  <c r="AP71" i="4" s="1"/>
  <c r="K71" i="4"/>
  <c r="AU71" i="4" s="1"/>
  <c r="L71" i="4"/>
  <c r="AR71" i="4" s="1"/>
  <c r="M71" i="4"/>
  <c r="AN71" i="4" s="1"/>
  <c r="N71" i="4"/>
  <c r="O71" i="4"/>
  <c r="C72" i="4"/>
  <c r="D72" i="4"/>
  <c r="E72" i="4"/>
  <c r="F72" i="4"/>
  <c r="G72" i="4"/>
  <c r="AT72" i="4" s="1"/>
  <c r="H72" i="4"/>
  <c r="AQ72" i="4" s="1"/>
  <c r="I72" i="4"/>
  <c r="AM72" i="4" s="1"/>
  <c r="J72" i="4"/>
  <c r="AP72" i="4" s="1"/>
  <c r="K72" i="4"/>
  <c r="AU72" i="4" s="1"/>
  <c r="L72" i="4"/>
  <c r="AR72" i="4" s="1"/>
  <c r="M72" i="4"/>
  <c r="AN72" i="4" s="1"/>
  <c r="N72" i="4"/>
  <c r="O72" i="4"/>
  <c r="C73" i="4"/>
  <c r="D73" i="4"/>
  <c r="E73" i="4"/>
  <c r="F73" i="4"/>
  <c r="G73" i="4"/>
  <c r="AT73" i="4" s="1"/>
  <c r="H73" i="4"/>
  <c r="AQ73" i="4" s="1"/>
  <c r="I73" i="4"/>
  <c r="AM73" i="4" s="1"/>
  <c r="J73" i="4"/>
  <c r="AP73" i="4" s="1"/>
  <c r="K73" i="4"/>
  <c r="AU73" i="4" s="1"/>
  <c r="L73" i="4"/>
  <c r="AR73" i="4" s="1"/>
  <c r="M73" i="4"/>
  <c r="AN73" i="4" s="1"/>
  <c r="N73" i="4"/>
  <c r="O73" i="4"/>
  <c r="C30" i="4"/>
  <c r="D30" i="4"/>
  <c r="E30" i="4"/>
  <c r="F30" i="4"/>
  <c r="G30" i="4"/>
  <c r="AT30" i="4" s="1"/>
  <c r="H30" i="4"/>
  <c r="AQ30" i="4" s="1"/>
  <c r="I30" i="4"/>
  <c r="AM30" i="4" s="1"/>
  <c r="J30" i="4"/>
  <c r="AP30" i="4" s="1"/>
  <c r="K30" i="4"/>
  <c r="AU30" i="4" s="1"/>
  <c r="L30" i="4"/>
  <c r="AR30" i="4" s="1"/>
  <c r="M30" i="4"/>
  <c r="AN30" i="4" s="1"/>
  <c r="N30" i="4"/>
  <c r="O30" i="4"/>
  <c r="C31" i="4"/>
  <c r="D31" i="4"/>
  <c r="E31" i="4"/>
  <c r="F31" i="4"/>
  <c r="G31" i="4"/>
  <c r="AT31" i="4" s="1"/>
  <c r="H31" i="4"/>
  <c r="AQ31" i="4" s="1"/>
  <c r="I31" i="4"/>
  <c r="AM31" i="4" s="1"/>
  <c r="J31" i="4"/>
  <c r="AP31" i="4" s="1"/>
  <c r="K31" i="4"/>
  <c r="AU31" i="4" s="1"/>
  <c r="L31" i="4"/>
  <c r="AR31" i="4" s="1"/>
  <c r="M31" i="4"/>
  <c r="AN31" i="4" s="1"/>
  <c r="N31" i="4"/>
  <c r="O31" i="4"/>
  <c r="C32" i="4"/>
  <c r="D32" i="4"/>
  <c r="E32" i="4"/>
  <c r="F32" i="4"/>
  <c r="G32" i="4"/>
  <c r="AT32" i="4" s="1"/>
  <c r="H32" i="4"/>
  <c r="AQ32" i="4" s="1"/>
  <c r="I32" i="4"/>
  <c r="AM32" i="4" s="1"/>
  <c r="J32" i="4"/>
  <c r="AP32" i="4" s="1"/>
  <c r="K32" i="4"/>
  <c r="AU32" i="4" s="1"/>
  <c r="L32" i="4"/>
  <c r="AR32" i="4" s="1"/>
  <c r="M32" i="4"/>
  <c r="AN32" i="4" s="1"/>
  <c r="N32" i="4"/>
  <c r="O32" i="4"/>
  <c r="C33" i="4"/>
  <c r="D33" i="4"/>
  <c r="E33" i="4"/>
  <c r="F33" i="4"/>
  <c r="G33" i="4"/>
  <c r="AT33" i="4" s="1"/>
  <c r="H33" i="4"/>
  <c r="AQ33" i="4" s="1"/>
  <c r="I33" i="4"/>
  <c r="AM33" i="4" s="1"/>
  <c r="J33" i="4"/>
  <c r="AP33" i="4" s="1"/>
  <c r="K33" i="4"/>
  <c r="AU33" i="4" s="1"/>
  <c r="L33" i="4"/>
  <c r="AR33" i="4" s="1"/>
  <c r="M33" i="4"/>
  <c r="AN33" i="4" s="1"/>
  <c r="N33" i="4"/>
  <c r="O33" i="4"/>
  <c r="C34" i="4"/>
  <c r="D34" i="4"/>
  <c r="E34" i="4"/>
  <c r="F34" i="4"/>
  <c r="G34" i="4"/>
  <c r="AT34" i="4" s="1"/>
  <c r="H34" i="4"/>
  <c r="AQ34" i="4" s="1"/>
  <c r="I34" i="4"/>
  <c r="AM34" i="4" s="1"/>
  <c r="J34" i="4"/>
  <c r="AP34" i="4" s="1"/>
  <c r="K34" i="4"/>
  <c r="AU34" i="4" s="1"/>
  <c r="L34" i="4"/>
  <c r="AR34" i="4" s="1"/>
  <c r="M34" i="4"/>
  <c r="AN34" i="4" s="1"/>
  <c r="N34" i="4"/>
  <c r="O34" i="4"/>
  <c r="C35" i="4"/>
  <c r="D35" i="4"/>
  <c r="E35" i="4"/>
  <c r="F35" i="4"/>
  <c r="G35" i="4"/>
  <c r="AT35" i="4" s="1"/>
  <c r="H35" i="4"/>
  <c r="AQ35" i="4" s="1"/>
  <c r="I35" i="4"/>
  <c r="AM35" i="4" s="1"/>
  <c r="J35" i="4"/>
  <c r="AP35" i="4" s="1"/>
  <c r="K35" i="4"/>
  <c r="AU35" i="4" s="1"/>
  <c r="L35" i="4"/>
  <c r="AR35" i="4" s="1"/>
  <c r="M35" i="4"/>
  <c r="AN35" i="4" s="1"/>
  <c r="N35" i="4"/>
  <c r="O35" i="4"/>
  <c r="C36" i="4"/>
  <c r="D36" i="4"/>
  <c r="E36" i="4"/>
  <c r="F36" i="4"/>
  <c r="G36" i="4"/>
  <c r="AT36" i="4" s="1"/>
  <c r="H36" i="4"/>
  <c r="AQ36" i="4" s="1"/>
  <c r="I36" i="4"/>
  <c r="AM36" i="4" s="1"/>
  <c r="J36" i="4"/>
  <c r="AP36" i="4" s="1"/>
  <c r="K36" i="4"/>
  <c r="AU36" i="4" s="1"/>
  <c r="L36" i="4"/>
  <c r="AR36" i="4" s="1"/>
  <c r="M36" i="4"/>
  <c r="AN36" i="4" s="1"/>
  <c r="N36" i="4"/>
  <c r="O36" i="4"/>
  <c r="C37" i="4"/>
  <c r="D37" i="4"/>
  <c r="E37" i="4"/>
  <c r="F37" i="4"/>
  <c r="G37" i="4"/>
  <c r="AT37" i="4" s="1"/>
  <c r="H37" i="4"/>
  <c r="AQ37" i="4" s="1"/>
  <c r="I37" i="4"/>
  <c r="AM37" i="4" s="1"/>
  <c r="J37" i="4"/>
  <c r="AP37" i="4" s="1"/>
  <c r="K37" i="4"/>
  <c r="AU37" i="4" s="1"/>
  <c r="L37" i="4"/>
  <c r="AR37" i="4" s="1"/>
  <c r="M37" i="4"/>
  <c r="AN37" i="4" s="1"/>
  <c r="N37" i="4"/>
  <c r="O37" i="4"/>
  <c r="C38" i="4"/>
  <c r="D38" i="4"/>
  <c r="E38" i="4"/>
  <c r="F38" i="4"/>
  <c r="G38" i="4"/>
  <c r="AT38" i="4" s="1"/>
  <c r="H38" i="4"/>
  <c r="AQ38" i="4" s="1"/>
  <c r="I38" i="4"/>
  <c r="AM38" i="4" s="1"/>
  <c r="J38" i="4"/>
  <c r="AP38" i="4" s="1"/>
  <c r="K38" i="4"/>
  <c r="AU38" i="4" s="1"/>
  <c r="L38" i="4"/>
  <c r="AR38" i="4" s="1"/>
  <c r="M38" i="4"/>
  <c r="AN38" i="4" s="1"/>
  <c r="N38" i="4"/>
  <c r="O38" i="4"/>
  <c r="C39" i="4"/>
  <c r="D39" i="4"/>
  <c r="E39" i="4"/>
  <c r="F39" i="4"/>
  <c r="G39" i="4"/>
  <c r="AT39" i="4" s="1"/>
  <c r="H39" i="4"/>
  <c r="AQ39" i="4" s="1"/>
  <c r="I39" i="4"/>
  <c r="AM39" i="4" s="1"/>
  <c r="J39" i="4"/>
  <c r="AP39" i="4" s="1"/>
  <c r="K39" i="4"/>
  <c r="AU39" i="4" s="1"/>
  <c r="L39" i="4"/>
  <c r="AR39" i="4" s="1"/>
  <c r="M39" i="4"/>
  <c r="AN39" i="4" s="1"/>
  <c r="N39" i="4"/>
  <c r="O39" i="4"/>
  <c r="C40" i="4"/>
  <c r="D40" i="4"/>
  <c r="E40" i="4"/>
  <c r="F40" i="4"/>
  <c r="G40" i="4"/>
  <c r="AT40" i="4" s="1"/>
  <c r="H40" i="4"/>
  <c r="AQ40" i="4" s="1"/>
  <c r="I40" i="4"/>
  <c r="AM40" i="4" s="1"/>
  <c r="J40" i="4"/>
  <c r="AP40" i="4" s="1"/>
  <c r="K40" i="4"/>
  <c r="AU40" i="4" s="1"/>
  <c r="L40" i="4"/>
  <c r="AR40" i="4" s="1"/>
  <c r="M40" i="4"/>
  <c r="AN40" i="4" s="1"/>
  <c r="N40" i="4"/>
  <c r="O40" i="4"/>
  <c r="C41" i="4"/>
  <c r="D41" i="4"/>
  <c r="E41" i="4"/>
  <c r="F41" i="4"/>
  <c r="G41" i="4"/>
  <c r="AT41" i="4" s="1"/>
  <c r="H41" i="4"/>
  <c r="AQ41" i="4" s="1"/>
  <c r="I41" i="4"/>
  <c r="AM41" i="4" s="1"/>
  <c r="J41" i="4"/>
  <c r="AP41" i="4" s="1"/>
  <c r="K41" i="4"/>
  <c r="AU41" i="4" s="1"/>
  <c r="L41" i="4"/>
  <c r="AR41" i="4" s="1"/>
  <c r="M41" i="4"/>
  <c r="AN41" i="4" s="1"/>
  <c r="N41" i="4"/>
  <c r="O41" i="4"/>
  <c r="C42" i="4"/>
  <c r="D42" i="4"/>
  <c r="E42" i="4"/>
  <c r="F42" i="4"/>
  <c r="G42" i="4"/>
  <c r="AT42" i="4" s="1"/>
  <c r="H42" i="4"/>
  <c r="AQ42" i="4" s="1"/>
  <c r="I42" i="4"/>
  <c r="AM42" i="4" s="1"/>
  <c r="J42" i="4"/>
  <c r="AP42" i="4" s="1"/>
  <c r="K42" i="4"/>
  <c r="AU42" i="4" s="1"/>
  <c r="L42" i="4"/>
  <c r="AR42" i="4" s="1"/>
  <c r="M42" i="4"/>
  <c r="AN42" i="4" s="1"/>
  <c r="N42" i="4"/>
  <c r="O42" i="4"/>
  <c r="C43" i="4"/>
  <c r="D43" i="4"/>
  <c r="E43" i="4"/>
  <c r="F43" i="4"/>
  <c r="G43" i="4"/>
  <c r="AT43" i="4" s="1"/>
  <c r="H43" i="4"/>
  <c r="AQ43" i="4" s="1"/>
  <c r="I43" i="4"/>
  <c r="AM43" i="4" s="1"/>
  <c r="J43" i="4"/>
  <c r="AP43" i="4" s="1"/>
  <c r="K43" i="4"/>
  <c r="AU43" i="4" s="1"/>
  <c r="L43" i="4"/>
  <c r="AR43" i="4" s="1"/>
  <c r="M43" i="4"/>
  <c r="AN43" i="4" s="1"/>
  <c r="N43" i="4"/>
  <c r="O43" i="4"/>
  <c r="C44" i="4"/>
  <c r="D44" i="4"/>
  <c r="E44" i="4"/>
  <c r="F44" i="4"/>
  <c r="G44" i="4"/>
  <c r="AT44" i="4" s="1"/>
  <c r="H44" i="4"/>
  <c r="AQ44" i="4" s="1"/>
  <c r="I44" i="4"/>
  <c r="AM44" i="4" s="1"/>
  <c r="J44" i="4"/>
  <c r="AP44" i="4" s="1"/>
  <c r="K44" i="4"/>
  <c r="AU44" i="4" s="1"/>
  <c r="L44" i="4"/>
  <c r="AR44" i="4" s="1"/>
  <c r="M44" i="4"/>
  <c r="AN44" i="4" s="1"/>
  <c r="N44" i="4"/>
  <c r="O44" i="4"/>
  <c r="C45" i="4"/>
  <c r="D45" i="4"/>
  <c r="E45" i="4"/>
  <c r="F45" i="4"/>
  <c r="G45" i="4"/>
  <c r="AT45" i="4" s="1"/>
  <c r="H45" i="4"/>
  <c r="AQ45" i="4" s="1"/>
  <c r="I45" i="4"/>
  <c r="AM45" i="4" s="1"/>
  <c r="J45" i="4"/>
  <c r="AP45" i="4" s="1"/>
  <c r="K45" i="4"/>
  <c r="AU45" i="4" s="1"/>
  <c r="L45" i="4"/>
  <c r="AR45" i="4" s="1"/>
  <c r="M45" i="4"/>
  <c r="AN45" i="4" s="1"/>
  <c r="N45" i="4"/>
  <c r="O45" i="4"/>
  <c r="C46" i="4"/>
  <c r="D46" i="4"/>
  <c r="E46" i="4"/>
  <c r="F46" i="4"/>
  <c r="G46" i="4"/>
  <c r="AT46" i="4" s="1"/>
  <c r="H46" i="4"/>
  <c r="AQ46" i="4" s="1"/>
  <c r="I46" i="4"/>
  <c r="AM46" i="4" s="1"/>
  <c r="J46" i="4"/>
  <c r="AP46" i="4" s="1"/>
  <c r="K46" i="4"/>
  <c r="AU46" i="4" s="1"/>
  <c r="L46" i="4"/>
  <c r="AR46" i="4" s="1"/>
  <c r="M46" i="4"/>
  <c r="AN46" i="4" s="1"/>
  <c r="N46" i="4"/>
  <c r="O46" i="4"/>
  <c r="C47" i="4"/>
  <c r="D47" i="4"/>
  <c r="E47" i="4"/>
  <c r="F47" i="4"/>
  <c r="G47" i="4"/>
  <c r="AT47" i="4" s="1"/>
  <c r="H47" i="4"/>
  <c r="AQ47" i="4" s="1"/>
  <c r="I47" i="4"/>
  <c r="AM47" i="4" s="1"/>
  <c r="J47" i="4"/>
  <c r="AP47" i="4" s="1"/>
  <c r="K47" i="4"/>
  <c r="AU47" i="4" s="1"/>
  <c r="L47" i="4"/>
  <c r="AR47" i="4" s="1"/>
  <c r="M47" i="4"/>
  <c r="AN47" i="4" s="1"/>
  <c r="N47" i="4"/>
  <c r="O47" i="4"/>
  <c r="C48" i="4"/>
  <c r="D48" i="4"/>
  <c r="E48" i="4"/>
  <c r="F48" i="4"/>
  <c r="G48" i="4"/>
  <c r="AT48" i="4" s="1"/>
  <c r="H48" i="4"/>
  <c r="AQ48" i="4" s="1"/>
  <c r="I48" i="4"/>
  <c r="AM48" i="4" s="1"/>
  <c r="J48" i="4"/>
  <c r="AP48" i="4" s="1"/>
  <c r="K48" i="4"/>
  <c r="AU48" i="4" s="1"/>
  <c r="L48" i="4"/>
  <c r="AR48" i="4" s="1"/>
  <c r="M48" i="4"/>
  <c r="AN48" i="4" s="1"/>
  <c r="N48" i="4"/>
  <c r="O48" i="4"/>
  <c r="C49" i="4"/>
  <c r="D49" i="4"/>
  <c r="E49" i="4"/>
  <c r="F49" i="4"/>
  <c r="G49" i="4"/>
  <c r="AT49" i="4" s="1"/>
  <c r="H49" i="4"/>
  <c r="AQ49" i="4" s="1"/>
  <c r="I49" i="4"/>
  <c r="AM49" i="4" s="1"/>
  <c r="J49" i="4"/>
  <c r="AP49" i="4" s="1"/>
  <c r="K49" i="4"/>
  <c r="AU49" i="4" s="1"/>
  <c r="L49" i="4"/>
  <c r="AR49" i="4" s="1"/>
  <c r="M49" i="4"/>
  <c r="AN49" i="4" s="1"/>
  <c r="N49" i="4"/>
  <c r="O49" i="4"/>
  <c r="C50" i="4"/>
  <c r="D50" i="4"/>
  <c r="E50" i="4"/>
  <c r="F50" i="4"/>
  <c r="G50" i="4"/>
  <c r="AT50" i="4" s="1"/>
  <c r="H50" i="4"/>
  <c r="AQ50" i="4" s="1"/>
  <c r="I50" i="4"/>
  <c r="AM50" i="4" s="1"/>
  <c r="J50" i="4"/>
  <c r="AP50" i="4" s="1"/>
  <c r="K50" i="4"/>
  <c r="AU50" i="4" s="1"/>
  <c r="L50" i="4"/>
  <c r="AR50" i="4" s="1"/>
  <c r="M50" i="4"/>
  <c r="AN50" i="4" s="1"/>
  <c r="N50" i="4"/>
  <c r="O50" i="4"/>
  <c r="C51" i="4"/>
  <c r="D51" i="4"/>
  <c r="E51" i="4"/>
  <c r="F51" i="4"/>
  <c r="G51" i="4"/>
  <c r="AT51" i="4" s="1"/>
  <c r="H51" i="4"/>
  <c r="AQ51" i="4" s="1"/>
  <c r="I51" i="4"/>
  <c r="AM51" i="4" s="1"/>
  <c r="J51" i="4"/>
  <c r="AP51" i="4" s="1"/>
  <c r="K51" i="4"/>
  <c r="AU51" i="4" s="1"/>
  <c r="L51" i="4"/>
  <c r="AR51" i="4" s="1"/>
  <c r="M51" i="4"/>
  <c r="AN51" i="4" s="1"/>
  <c r="N51" i="4"/>
  <c r="O51" i="4"/>
  <c r="C52" i="4"/>
  <c r="D52" i="4"/>
  <c r="E52" i="4"/>
  <c r="F52" i="4"/>
  <c r="G52" i="4"/>
  <c r="AT52" i="4" s="1"/>
  <c r="H52" i="4"/>
  <c r="AQ52" i="4" s="1"/>
  <c r="I52" i="4"/>
  <c r="AM52" i="4" s="1"/>
  <c r="J52" i="4"/>
  <c r="AP52" i="4" s="1"/>
  <c r="K52" i="4"/>
  <c r="AU52" i="4" s="1"/>
  <c r="L52" i="4"/>
  <c r="AR52" i="4" s="1"/>
  <c r="M52" i="4"/>
  <c r="AN52" i="4" s="1"/>
  <c r="N52" i="4"/>
  <c r="O52" i="4"/>
  <c r="D5" i="4"/>
  <c r="F5" i="4"/>
  <c r="K5" i="4"/>
  <c r="AU5" i="4" s="1"/>
  <c r="L5" i="4"/>
  <c r="AR5" i="4" s="1"/>
  <c r="C6" i="4"/>
  <c r="D6" i="4"/>
  <c r="E6" i="4"/>
  <c r="AS6" i="4" s="1"/>
  <c r="AV6" i="4" s="1"/>
  <c r="F6" i="4"/>
  <c r="AO6" i="4" s="1"/>
  <c r="G6" i="4"/>
  <c r="AT6" i="4" s="1"/>
  <c r="H6" i="4"/>
  <c r="AQ6" i="4" s="1"/>
  <c r="I6" i="4"/>
  <c r="AM6" i="4" s="1"/>
  <c r="J6" i="4"/>
  <c r="AP6" i="4" s="1"/>
  <c r="K6" i="4"/>
  <c r="AU6" i="4" s="1"/>
  <c r="L6" i="4"/>
  <c r="AR6" i="4" s="1"/>
  <c r="M6" i="4"/>
  <c r="AN6" i="4" s="1"/>
  <c r="N6" i="4"/>
  <c r="O6" i="4"/>
  <c r="C7" i="4"/>
  <c r="D7" i="4"/>
  <c r="E7" i="4"/>
  <c r="AS7" i="4" s="1"/>
  <c r="AV7" i="4" s="1"/>
  <c r="F7" i="4"/>
  <c r="AO7" i="4" s="1"/>
  <c r="G7" i="4"/>
  <c r="AT7" i="4" s="1"/>
  <c r="H7" i="4"/>
  <c r="AQ7" i="4" s="1"/>
  <c r="I7" i="4"/>
  <c r="AM7" i="4" s="1"/>
  <c r="J7" i="4"/>
  <c r="AP7" i="4" s="1"/>
  <c r="K7" i="4"/>
  <c r="AU7" i="4" s="1"/>
  <c r="L7" i="4"/>
  <c r="AR7" i="4" s="1"/>
  <c r="M7" i="4"/>
  <c r="AN7" i="4" s="1"/>
  <c r="N7" i="4"/>
  <c r="O7" i="4"/>
  <c r="C8" i="4"/>
  <c r="D8" i="4"/>
  <c r="E8" i="4"/>
  <c r="AS8" i="4" s="1"/>
  <c r="AV8" i="4" s="1"/>
  <c r="F8" i="4"/>
  <c r="AO8" i="4" s="1"/>
  <c r="G8" i="4"/>
  <c r="AT8" i="4" s="1"/>
  <c r="H8" i="4"/>
  <c r="AQ8" i="4" s="1"/>
  <c r="I8" i="4"/>
  <c r="AM8" i="4" s="1"/>
  <c r="J8" i="4"/>
  <c r="AP8" i="4" s="1"/>
  <c r="K8" i="4"/>
  <c r="AU8" i="4" s="1"/>
  <c r="L8" i="4"/>
  <c r="AR8" i="4" s="1"/>
  <c r="M8" i="4"/>
  <c r="AN8" i="4" s="1"/>
  <c r="N8" i="4"/>
  <c r="O8" i="4"/>
  <c r="C9" i="4"/>
  <c r="D9" i="4"/>
  <c r="E9" i="4"/>
  <c r="AS9" i="4" s="1"/>
  <c r="AV9" i="4" s="1"/>
  <c r="F9" i="4"/>
  <c r="AO9" i="4" s="1"/>
  <c r="G9" i="4"/>
  <c r="AT9" i="4" s="1"/>
  <c r="H9" i="4"/>
  <c r="AQ9" i="4" s="1"/>
  <c r="I9" i="4"/>
  <c r="AM9" i="4" s="1"/>
  <c r="J9" i="4"/>
  <c r="AP9" i="4" s="1"/>
  <c r="K9" i="4"/>
  <c r="AU9" i="4" s="1"/>
  <c r="L9" i="4"/>
  <c r="AR9" i="4" s="1"/>
  <c r="M9" i="4"/>
  <c r="AN9" i="4" s="1"/>
  <c r="N9" i="4"/>
  <c r="O9" i="4"/>
  <c r="C10" i="4"/>
  <c r="D10" i="4"/>
  <c r="E10" i="4"/>
  <c r="AS10" i="4" s="1"/>
  <c r="AV10" i="4" s="1"/>
  <c r="F10" i="4"/>
  <c r="AO10" i="4" s="1"/>
  <c r="G10" i="4"/>
  <c r="AT10" i="4" s="1"/>
  <c r="H10" i="4"/>
  <c r="AQ10" i="4" s="1"/>
  <c r="I10" i="4"/>
  <c r="AM10" i="4" s="1"/>
  <c r="J10" i="4"/>
  <c r="AP10" i="4" s="1"/>
  <c r="K10" i="4"/>
  <c r="AU10" i="4" s="1"/>
  <c r="L10" i="4"/>
  <c r="AR10" i="4" s="1"/>
  <c r="M10" i="4"/>
  <c r="AN10" i="4" s="1"/>
  <c r="N10" i="4"/>
  <c r="O10" i="4"/>
  <c r="C11" i="4"/>
  <c r="D11" i="4"/>
  <c r="E11" i="4"/>
  <c r="AS11" i="4" s="1"/>
  <c r="AV11" i="4" s="1"/>
  <c r="F11" i="4"/>
  <c r="AO11" i="4" s="1"/>
  <c r="G11" i="4"/>
  <c r="AT11" i="4" s="1"/>
  <c r="H11" i="4"/>
  <c r="AQ11" i="4" s="1"/>
  <c r="I11" i="4"/>
  <c r="AM11" i="4" s="1"/>
  <c r="J11" i="4"/>
  <c r="AP11" i="4" s="1"/>
  <c r="K11" i="4"/>
  <c r="AU11" i="4" s="1"/>
  <c r="L11" i="4"/>
  <c r="AR11" i="4" s="1"/>
  <c r="M11" i="4"/>
  <c r="AN11" i="4" s="1"/>
  <c r="N11" i="4"/>
  <c r="O11" i="4"/>
  <c r="C12" i="4"/>
  <c r="D12" i="4"/>
  <c r="E12" i="4"/>
  <c r="AS12" i="4" s="1"/>
  <c r="AV12" i="4" s="1"/>
  <c r="F12" i="4"/>
  <c r="AO12" i="4" s="1"/>
  <c r="G12" i="4"/>
  <c r="AT12" i="4" s="1"/>
  <c r="H12" i="4"/>
  <c r="AQ12" i="4" s="1"/>
  <c r="I12" i="4"/>
  <c r="AM12" i="4" s="1"/>
  <c r="J12" i="4"/>
  <c r="AP12" i="4" s="1"/>
  <c r="K12" i="4"/>
  <c r="AU12" i="4" s="1"/>
  <c r="L12" i="4"/>
  <c r="AR12" i="4" s="1"/>
  <c r="M12" i="4"/>
  <c r="AN12" i="4" s="1"/>
  <c r="N12" i="4"/>
  <c r="O12" i="4"/>
  <c r="C13" i="4"/>
  <c r="D13" i="4"/>
  <c r="E13" i="4"/>
  <c r="F13" i="4"/>
  <c r="G13" i="4"/>
  <c r="AT13" i="4" s="1"/>
  <c r="H13" i="4"/>
  <c r="AQ13" i="4" s="1"/>
  <c r="I13" i="4"/>
  <c r="AM13" i="4" s="1"/>
  <c r="J13" i="4"/>
  <c r="AP13" i="4" s="1"/>
  <c r="K13" i="4"/>
  <c r="AU13" i="4" s="1"/>
  <c r="L13" i="4"/>
  <c r="AR13" i="4" s="1"/>
  <c r="M13" i="4"/>
  <c r="AN13" i="4" s="1"/>
  <c r="N13" i="4"/>
  <c r="O13" i="4"/>
  <c r="C14" i="4"/>
  <c r="D14" i="4"/>
  <c r="E14" i="4"/>
  <c r="F14" i="4"/>
  <c r="G14" i="4"/>
  <c r="AT14" i="4" s="1"/>
  <c r="H14" i="4"/>
  <c r="AQ14" i="4" s="1"/>
  <c r="I14" i="4"/>
  <c r="AM14" i="4" s="1"/>
  <c r="J14" i="4"/>
  <c r="AP14" i="4" s="1"/>
  <c r="K14" i="4"/>
  <c r="AU14" i="4" s="1"/>
  <c r="L14" i="4"/>
  <c r="AR14" i="4" s="1"/>
  <c r="M14" i="4"/>
  <c r="AN14" i="4" s="1"/>
  <c r="N14" i="4"/>
  <c r="O14" i="4"/>
  <c r="C15" i="4"/>
  <c r="D15" i="4"/>
  <c r="E15" i="4"/>
  <c r="F15" i="4"/>
  <c r="G15" i="4"/>
  <c r="AT15" i="4" s="1"/>
  <c r="H15" i="4"/>
  <c r="AQ15" i="4" s="1"/>
  <c r="I15" i="4"/>
  <c r="AM15" i="4" s="1"/>
  <c r="J15" i="4"/>
  <c r="AP15" i="4" s="1"/>
  <c r="K15" i="4"/>
  <c r="AU15" i="4" s="1"/>
  <c r="L15" i="4"/>
  <c r="AR15" i="4" s="1"/>
  <c r="M15" i="4"/>
  <c r="AN15" i="4" s="1"/>
  <c r="N15" i="4"/>
  <c r="O15" i="4"/>
  <c r="C16" i="4"/>
  <c r="D16" i="4"/>
  <c r="E16" i="4"/>
  <c r="F16" i="4"/>
  <c r="G16" i="4"/>
  <c r="AT16" i="4" s="1"/>
  <c r="H16" i="4"/>
  <c r="AQ16" i="4" s="1"/>
  <c r="I16" i="4"/>
  <c r="AM16" i="4" s="1"/>
  <c r="J16" i="4"/>
  <c r="AP16" i="4" s="1"/>
  <c r="K16" i="4"/>
  <c r="AU16" i="4" s="1"/>
  <c r="L16" i="4"/>
  <c r="AR16" i="4" s="1"/>
  <c r="M16" i="4"/>
  <c r="AN16" i="4" s="1"/>
  <c r="N16" i="4"/>
  <c r="O16" i="4"/>
  <c r="C17" i="4"/>
  <c r="D17" i="4"/>
  <c r="E17" i="4"/>
  <c r="F17" i="4"/>
  <c r="G17" i="4"/>
  <c r="AT17" i="4" s="1"/>
  <c r="H17" i="4"/>
  <c r="AQ17" i="4" s="1"/>
  <c r="I17" i="4"/>
  <c r="AM17" i="4" s="1"/>
  <c r="J17" i="4"/>
  <c r="AP17" i="4" s="1"/>
  <c r="K17" i="4"/>
  <c r="AU17" i="4" s="1"/>
  <c r="L17" i="4"/>
  <c r="AR17" i="4" s="1"/>
  <c r="M17" i="4"/>
  <c r="AN17" i="4" s="1"/>
  <c r="N17" i="4"/>
  <c r="O17" i="4"/>
  <c r="C18" i="4"/>
  <c r="D18" i="4"/>
  <c r="E18" i="4"/>
  <c r="F18" i="4"/>
  <c r="G18" i="4"/>
  <c r="AT18" i="4" s="1"/>
  <c r="H18" i="4"/>
  <c r="AQ18" i="4" s="1"/>
  <c r="I18" i="4"/>
  <c r="AM18" i="4" s="1"/>
  <c r="J18" i="4"/>
  <c r="AP18" i="4" s="1"/>
  <c r="K18" i="4"/>
  <c r="AU18" i="4" s="1"/>
  <c r="L18" i="4"/>
  <c r="AR18" i="4" s="1"/>
  <c r="M18" i="4"/>
  <c r="AN18" i="4" s="1"/>
  <c r="N18" i="4"/>
  <c r="O18" i="4"/>
  <c r="C19" i="4"/>
  <c r="D19" i="4"/>
  <c r="E19" i="4"/>
  <c r="F19" i="4"/>
  <c r="G19" i="4"/>
  <c r="AT19" i="4" s="1"/>
  <c r="H19" i="4"/>
  <c r="AQ19" i="4" s="1"/>
  <c r="I19" i="4"/>
  <c r="AM19" i="4" s="1"/>
  <c r="J19" i="4"/>
  <c r="AP19" i="4" s="1"/>
  <c r="K19" i="4"/>
  <c r="AU19" i="4" s="1"/>
  <c r="L19" i="4"/>
  <c r="AR19" i="4" s="1"/>
  <c r="M19" i="4"/>
  <c r="AN19" i="4" s="1"/>
  <c r="N19" i="4"/>
  <c r="O19" i="4"/>
  <c r="C20" i="4"/>
  <c r="D20" i="4"/>
  <c r="E20" i="4"/>
  <c r="F20" i="4"/>
  <c r="G20" i="4"/>
  <c r="AT20" i="4" s="1"/>
  <c r="H20" i="4"/>
  <c r="AQ20" i="4" s="1"/>
  <c r="I20" i="4"/>
  <c r="AM20" i="4" s="1"/>
  <c r="J20" i="4"/>
  <c r="AP20" i="4" s="1"/>
  <c r="K20" i="4"/>
  <c r="AU20" i="4" s="1"/>
  <c r="L20" i="4"/>
  <c r="AR20" i="4" s="1"/>
  <c r="M20" i="4"/>
  <c r="AN20" i="4" s="1"/>
  <c r="N20" i="4"/>
  <c r="O20" i="4"/>
  <c r="C21" i="4"/>
  <c r="D21" i="4"/>
  <c r="E21" i="4"/>
  <c r="F21" i="4"/>
  <c r="G21" i="4"/>
  <c r="AT21" i="4" s="1"/>
  <c r="H21" i="4"/>
  <c r="AQ21" i="4" s="1"/>
  <c r="I21" i="4"/>
  <c r="AM21" i="4" s="1"/>
  <c r="J21" i="4"/>
  <c r="AP21" i="4" s="1"/>
  <c r="K21" i="4"/>
  <c r="AU21" i="4" s="1"/>
  <c r="L21" i="4"/>
  <c r="AR21" i="4" s="1"/>
  <c r="M21" i="4"/>
  <c r="AN21" i="4" s="1"/>
  <c r="N21" i="4"/>
  <c r="O21" i="4"/>
  <c r="C22" i="4"/>
  <c r="D22" i="4"/>
  <c r="E22" i="4"/>
  <c r="F22" i="4"/>
  <c r="G22" i="4"/>
  <c r="AT22" i="4" s="1"/>
  <c r="H22" i="4"/>
  <c r="AQ22" i="4" s="1"/>
  <c r="I22" i="4"/>
  <c r="AM22" i="4" s="1"/>
  <c r="J22" i="4"/>
  <c r="AP22" i="4" s="1"/>
  <c r="K22" i="4"/>
  <c r="AU22" i="4" s="1"/>
  <c r="L22" i="4"/>
  <c r="AR22" i="4" s="1"/>
  <c r="M22" i="4"/>
  <c r="AN22" i="4" s="1"/>
  <c r="N22" i="4"/>
  <c r="O22" i="4"/>
  <c r="C23" i="4"/>
  <c r="D23" i="4"/>
  <c r="E23" i="4"/>
  <c r="F23" i="4"/>
  <c r="G23" i="4"/>
  <c r="AT23" i="4" s="1"/>
  <c r="H23" i="4"/>
  <c r="AQ23" i="4" s="1"/>
  <c r="I23" i="4"/>
  <c r="AM23" i="4" s="1"/>
  <c r="J23" i="4"/>
  <c r="AP23" i="4" s="1"/>
  <c r="K23" i="4"/>
  <c r="AU23" i="4" s="1"/>
  <c r="L23" i="4"/>
  <c r="AR23" i="4" s="1"/>
  <c r="M23" i="4"/>
  <c r="AN23" i="4" s="1"/>
  <c r="N23" i="4"/>
  <c r="O23" i="4"/>
  <c r="C24" i="4"/>
  <c r="D24" i="4"/>
  <c r="E24" i="4"/>
  <c r="F24" i="4"/>
  <c r="G24" i="4"/>
  <c r="AT24" i="4" s="1"/>
  <c r="H24" i="4"/>
  <c r="AQ24" i="4" s="1"/>
  <c r="I24" i="4"/>
  <c r="AM24" i="4" s="1"/>
  <c r="J24" i="4"/>
  <c r="AP24" i="4" s="1"/>
  <c r="K24" i="4"/>
  <c r="AU24" i="4" s="1"/>
  <c r="L24" i="4"/>
  <c r="AR24" i="4" s="1"/>
  <c r="M24" i="4"/>
  <c r="AN24" i="4" s="1"/>
  <c r="N24" i="4"/>
  <c r="O24" i="4"/>
  <c r="C25" i="4"/>
  <c r="D25" i="4"/>
  <c r="E25" i="4"/>
  <c r="F25" i="4"/>
  <c r="G25" i="4"/>
  <c r="AT25" i="4" s="1"/>
  <c r="H25" i="4"/>
  <c r="AQ25" i="4" s="1"/>
  <c r="I25" i="4"/>
  <c r="AM25" i="4" s="1"/>
  <c r="J25" i="4"/>
  <c r="AP25" i="4" s="1"/>
  <c r="K25" i="4"/>
  <c r="AU25" i="4" s="1"/>
  <c r="L25" i="4"/>
  <c r="AR25" i="4" s="1"/>
  <c r="M25" i="4"/>
  <c r="AN25" i="4" s="1"/>
  <c r="N25" i="4"/>
  <c r="O25" i="4"/>
  <c r="C26" i="4"/>
  <c r="D26" i="4"/>
  <c r="E26" i="4"/>
  <c r="F26" i="4"/>
  <c r="G26" i="4"/>
  <c r="AT26" i="4" s="1"/>
  <c r="H26" i="4"/>
  <c r="AQ26" i="4" s="1"/>
  <c r="I26" i="4"/>
  <c r="AM26" i="4" s="1"/>
  <c r="J26" i="4"/>
  <c r="AP26" i="4" s="1"/>
  <c r="K26" i="4"/>
  <c r="AU26" i="4" s="1"/>
  <c r="L26" i="4"/>
  <c r="AR26" i="4" s="1"/>
  <c r="M26" i="4"/>
  <c r="AN26" i="4" s="1"/>
  <c r="N26" i="4"/>
  <c r="O26" i="4"/>
  <c r="C27" i="4"/>
  <c r="D27" i="4"/>
  <c r="E27" i="4"/>
  <c r="F27" i="4"/>
  <c r="G27" i="4"/>
  <c r="AT27" i="4" s="1"/>
  <c r="H27" i="4"/>
  <c r="AQ27" i="4" s="1"/>
  <c r="I27" i="4"/>
  <c r="AM27" i="4" s="1"/>
  <c r="J27" i="4"/>
  <c r="AP27" i="4" s="1"/>
  <c r="K27" i="4"/>
  <c r="AU27" i="4" s="1"/>
  <c r="L27" i="4"/>
  <c r="AR27" i="4" s="1"/>
  <c r="M27" i="4"/>
  <c r="AN27" i="4" s="1"/>
  <c r="N27" i="4"/>
  <c r="O27" i="4"/>
  <c r="C28" i="4"/>
  <c r="D28" i="4"/>
  <c r="E28" i="4"/>
  <c r="F28" i="4"/>
  <c r="G28" i="4"/>
  <c r="AT28" i="4" s="1"/>
  <c r="H28" i="4"/>
  <c r="AQ28" i="4" s="1"/>
  <c r="I28" i="4"/>
  <c r="AM28" i="4" s="1"/>
  <c r="J28" i="4"/>
  <c r="AP28" i="4" s="1"/>
  <c r="K28" i="4"/>
  <c r="AU28" i="4" s="1"/>
  <c r="L28" i="4"/>
  <c r="AR28" i="4" s="1"/>
  <c r="M28" i="4"/>
  <c r="AN28" i="4" s="1"/>
  <c r="N28" i="4"/>
  <c r="O28" i="4"/>
  <c r="C29" i="4"/>
  <c r="D29" i="4"/>
  <c r="E29" i="4"/>
  <c r="F29" i="4"/>
  <c r="G29" i="4"/>
  <c r="AT29" i="4" s="1"/>
  <c r="H29" i="4"/>
  <c r="AQ29" i="4" s="1"/>
  <c r="I29" i="4"/>
  <c r="AM29" i="4" s="1"/>
  <c r="J29" i="4"/>
  <c r="AP29" i="4" s="1"/>
  <c r="K29" i="4"/>
  <c r="AU29" i="4" s="1"/>
  <c r="L29" i="4"/>
  <c r="AR29" i="4" s="1"/>
  <c r="M29" i="4"/>
  <c r="AN29" i="4" s="1"/>
  <c r="N29" i="4"/>
  <c r="O29" i="4"/>
  <c r="AO5" i="4" l="1"/>
  <c r="AS25" i="4"/>
  <c r="AV25" i="4" s="1"/>
  <c r="AS41" i="4"/>
  <c r="AV41" i="4" s="1"/>
  <c r="AS73" i="4"/>
  <c r="AV73" i="4" s="1"/>
  <c r="AS57" i="4"/>
  <c r="AV57" i="4" s="1"/>
  <c r="AS36" i="4"/>
  <c r="AV36" i="4" s="1"/>
  <c r="AS72" i="4"/>
  <c r="AV72" i="4" s="1"/>
  <c r="AS60" i="4"/>
  <c r="AV60" i="4" s="1"/>
  <c r="AS56" i="4"/>
  <c r="AV56" i="4" s="1"/>
  <c r="AS80" i="4"/>
  <c r="AV80" i="4" s="1"/>
  <c r="AS76" i="4"/>
  <c r="AV76" i="4" s="1"/>
  <c r="AS29" i="4"/>
  <c r="AV29" i="4" s="1"/>
  <c r="AS13" i="4"/>
  <c r="AV13" i="4" s="1"/>
  <c r="AS49" i="4"/>
  <c r="AV49" i="4" s="1"/>
  <c r="AS33" i="4"/>
  <c r="AV33" i="4" s="1"/>
  <c r="AS61" i="4"/>
  <c r="AV61" i="4" s="1"/>
  <c r="AS28" i="4"/>
  <c r="AV28" i="4" s="1"/>
  <c r="AS20" i="4"/>
  <c r="AV20" i="4" s="1"/>
  <c r="AS52" i="4"/>
  <c r="AV52" i="4" s="1"/>
  <c r="AS44" i="4"/>
  <c r="AV44" i="4" s="1"/>
  <c r="AS64" i="4"/>
  <c r="AV64" i="4" s="1"/>
  <c r="AS27" i="4"/>
  <c r="AV27" i="4" s="1"/>
  <c r="AS15" i="4"/>
  <c r="AV15" i="4" s="1"/>
  <c r="AS43" i="4"/>
  <c r="AV43" i="4" s="1"/>
  <c r="AS39" i="4"/>
  <c r="AV39" i="4" s="1"/>
  <c r="AS71" i="4"/>
  <c r="AV71" i="4" s="1"/>
  <c r="AS67" i="4"/>
  <c r="AV67" i="4" s="1"/>
  <c r="AS63" i="4"/>
  <c r="AV63" i="4" s="1"/>
  <c r="AS59" i="4"/>
  <c r="AV59" i="4" s="1"/>
  <c r="AS55" i="4"/>
  <c r="AV55" i="4" s="1"/>
  <c r="AS79" i="4"/>
  <c r="AV79" i="4" s="1"/>
  <c r="AS75" i="4"/>
  <c r="AV75" i="4" s="1"/>
  <c r="AS21" i="4"/>
  <c r="AV21" i="4" s="1"/>
  <c r="AS17" i="4"/>
  <c r="AV17" i="4" s="1"/>
  <c r="AS45" i="4"/>
  <c r="AV45" i="4" s="1"/>
  <c r="AS37" i="4"/>
  <c r="AV37" i="4" s="1"/>
  <c r="AS69" i="4"/>
  <c r="AV69" i="4" s="1"/>
  <c r="AS65" i="4"/>
  <c r="AV65" i="4" s="1"/>
  <c r="AS53" i="4"/>
  <c r="AV53" i="4" s="1"/>
  <c r="AS77" i="4"/>
  <c r="AV77" i="4" s="1"/>
  <c r="AS24" i="4"/>
  <c r="AV24" i="4" s="1"/>
  <c r="AS16" i="4"/>
  <c r="AV16" i="4" s="1"/>
  <c r="AS48" i="4"/>
  <c r="AV48" i="4" s="1"/>
  <c r="AS40" i="4"/>
  <c r="AV40" i="4" s="1"/>
  <c r="AS32" i="4"/>
  <c r="AV32" i="4" s="1"/>
  <c r="AS68" i="4"/>
  <c r="AV68" i="4" s="1"/>
  <c r="AS23" i="4"/>
  <c r="AV23" i="4" s="1"/>
  <c r="AS19" i="4"/>
  <c r="AV19" i="4" s="1"/>
  <c r="AS51" i="4"/>
  <c r="AV51" i="4" s="1"/>
  <c r="AS47" i="4"/>
  <c r="AV47" i="4" s="1"/>
  <c r="AS35" i="4"/>
  <c r="AV35" i="4" s="1"/>
  <c r="AS31" i="4"/>
  <c r="AV31" i="4" s="1"/>
  <c r="AS26" i="4"/>
  <c r="AV26" i="4" s="1"/>
  <c r="AS22" i="4"/>
  <c r="AV22" i="4" s="1"/>
  <c r="AS18" i="4"/>
  <c r="AV18" i="4" s="1"/>
  <c r="AS14" i="4"/>
  <c r="AV14" i="4" s="1"/>
  <c r="AS50" i="4"/>
  <c r="AV50" i="4" s="1"/>
  <c r="AS46" i="4"/>
  <c r="AV46" i="4" s="1"/>
  <c r="AS42" i="4"/>
  <c r="AV42" i="4" s="1"/>
  <c r="AS38" i="4"/>
  <c r="AV38" i="4" s="1"/>
  <c r="AS34" i="4"/>
  <c r="AV34" i="4" s="1"/>
  <c r="AS30" i="4"/>
  <c r="AV30" i="4" s="1"/>
  <c r="AS70" i="4"/>
  <c r="AV70" i="4" s="1"/>
  <c r="AS66" i="4"/>
  <c r="AV66" i="4" s="1"/>
  <c r="AS62" i="4"/>
  <c r="AV62" i="4" s="1"/>
  <c r="AS58" i="4"/>
  <c r="AV58" i="4" s="1"/>
  <c r="AS54" i="4"/>
  <c r="AV54" i="4" s="1"/>
  <c r="AS78" i="4"/>
  <c r="AV78" i="4" s="1"/>
  <c r="AS74" i="4"/>
  <c r="AV74" i="4" s="1"/>
  <c r="AO22" i="4"/>
  <c r="AO18" i="4"/>
  <c r="AO14" i="4"/>
  <c r="AO46" i="4"/>
  <c r="AO38" i="4"/>
  <c r="AO34" i="4"/>
  <c r="AO70" i="4"/>
  <c r="AO66" i="4"/>
  <c r="AO58" i="4"/>
  <c r="AO54" i="4"/>
  <c r="AO29" i="4"/>
  <c r="AO25" i="4"/>
  <c r="AO13" i="4"/>
  <c r="AO49" i="4"/>
  <c r="AO41" i="4"/>
  <c r="AO33" i="4"/>
  <c r="AO69" i="4"/>
  <c r="AO61" i="4"/>
  <c r="AO77" i="4"/>
  <c r="AO28" i="4"/>
  <c r="AO24" i="4"/>
  <c r="AO20" i="4"/>
  <c r="AO16" i="4"/>
  <c r="AO52" i="4"/>
  <c r="AO48" i="4"/>
  <c r="AO44" i="4"/>
  <c r="AO40" i="4"/>
  <c r="AO36" i="4"/>
  <c r="AO32" i="4"/>
  <c r="AO72" i="4"/>
  <c r="AO68" i="4"/>
  <c r="AO64" i="4"/>
  <c r="AO60" i="4"/>
  <c r="AO56" i="4"/>
  <c r="AO80" i="4"/>
  <c r="AO76" i="4"/>
  <c r="AO26" i="4"/>
  <c r="AO50" i="4"/>
  <c r="AO42" i="4"/>
  <c r="AO30" i="4"/>
  <c r="AO62" i="4"/>
  <c r="AO78" i="4"/>
  <c r="AO74" i="4"/>
  <c r="AO21" i="4"/>
  <c r="AO17" i="4"/>
  <c r="AO45" i="4"/>
  <c r="AO37" i="4"/>
  <c r="AO73" i="4"/>
  <c r="AO65" i="4"/>
  <c r="AO57" i="4"/>
  <c r="AO53" i="4"/>
  <c r="AO27" i="4"/>
  <c r="AO23" i="4"/>
  <c r="AO19" i="4"/>
  <c r="AO15" i="4"/>
  <c r="AO51" i="4"/>
  <c r="AO47" i="4"/>
  <c r="AO43" i="4"/>
  <c r="AO39" i="4"/>
  <c r="AO35" i="4"/>
  <c r="AO31" i="4"/>
  <c r="AO71" i="4"/>
  <c r="AO67" i="4"/>
  <c r="AO63" i="4"/>
  <c r="AO59" i="4"/>
  <c r="AO55" i="4"/>
  <c r="AO79" i="4"/>
  <c r="AO75" i="4"/>
  <c r="AN87" i="4"/>
  <c r="AM87" i="4"/>
  <c r="E4" i="4"/>
  <c r="AS4" i="4" s="1"/>
  <c r="AV4" i="4" s="1"/>
  <c r="D4" i="4" l="1"/>
  <c r="C4" i="4"/>
  <c r="AM84" i="4" l="1"/>
  <c r="AN84" i="4"/>
  <c r="AN83" i="4" l="1"/>
  <c r="AN82" i="4"/>
  <c r="AM83" i="4"/>
  <c r="AM82" i="4"/>
  <c r="AN85" i="4"/>
  <c r="AM81" i="4"/>
  <c r="AN81" i="4"/>
  <c r="AM85" i="4"/>
  <c r="AN88" i="4" l="1"/>
  <c r="AM88" i="4"/>
  <c r="Q88" i="4" l="1"/>
  <c r="R88" i="4"/>
  <c r="S88" i="4"/>
  <c r="T88" i="4"/>
  <c r="U88" i="4"/>
  <c r="C88" i="4"/>
  <c r="E88" i="4"/>
  <c r="AS88" i="4" s="1"/>
  <c r="AV88" i="4" s="1"/>
  <c r="F88" i="4"/>
  <c r="G88" i="4"/>
  <c r="AT88" i="4" s="1"/>
  <c r="H88" i="4"/>
  <c r="AQ88" i="4" s="1"/>
  <c r="I88" i="4"/>
  <c r="J88" i="4"/>
  <c r="AP88" i="4" s="1"/>
  <c r="K88" i="4"/>
  <c r="AU88" i="4" s="1"/>
  <c r="L88" i="4"/>
  <c r="AR88" i="4" s="1"/>
  <c r="M88" i="4"/>
  <c r="N88" i="4"/>
  <c r="O88" i="4"/>
  <c r="O4" i="4"/>
  <c r="N4" i="4"/>
  <c r="M4" i="4"/>
  <c r="L4" i="4"/>
  <c r="AR4" i="4" s="1"/>
  <c r="K4" i="4"/>
  <c r="AU4" i="4" s="1"/>
  <c r="J4" i="4"/>
  <c r="AP4" i="4" s="1"/>
  <c r="I4" i="4"/>
  <c r="H4" i="4"/>
  <c r="AQ4" i="4" s="1"/>
  <c r="G4" i="4"/>
  <c r="AT4" i="4" s="1"/>
  <c r="F4" i="4"/>
  <c r="W88" i="4" l="1"/>
  <c r="AM4" i="4"/>
  <c r="AM86" i="4" s="1"/>
  <c r="AN4" i="4"/>
  <c r="AN86" i="4" s="1"/>
  <c r="AO4" i="4"/>
  <c r="AO88" i="4"/>
  <c r="F86" i="4"/>
  <c r="J86" i="4"/>
  <c r="AP86" i="4" s="1"/>
  <c r="N86" i="4"/>
  <c r="H86" i="4"/>
  <c r="AQ86" i="4" s="1"/>
  <c r="L86" i="4"/>
  <c r="AR86" i="4" s="1"/>
  <c r="L87" i="4"/>
  <c r="AR87" i="4" s="1"/>
  <c r="C87" i="4"/>
  <c r="U87" i="4"/>
  <c r="O87" i="4"/>
  <c r="G87" i="4"/>
  <c r="AT87" i="4" s="1"/>
  <c r="T87" i="4"/>
  <c r="N87" i="4"/>
  <c r="J87" i="4"/>
  <c r="AP87" i="4" s="1"/>
  <c r="F87" i="4"/>
  <c r="S87" i="4"/>
  <c r="H87" i="4"/>
  <c r="AQ87" i="4" s="1"/>
  <c r="Q87" i="4"/>
  <c r="I86" i="4"/>
  <c r="M86" i="4"/>
  <c r="K87" i="4"/>
  <c r="AU87" i="4" s="1"/>
  <c r="G86" i="4"/>
  <c r="AT86" i="4" s="1"/>
  <c r="K86" i="4"/>
  <c r="AU86" i="4" s="1"/>
  <c r="O86" i="4"/>
  <c r="M87" i="4"/>
  <c r="I87" i="4"/>
  <c r="E87" i="4"/>
  <c r="AS87" i="4" s="1"/>
  <c r="AV87" i="4" s="1"/>
  <c r="R87" i="4"/>
  <c r="W77" i="4"/>
  <c r="W49" i="4"/>
  <c r="W65" i="4"/>
  <c r="W33" i="4"/>
  <c r="W17" i="4"/>
  <c r="W53" i="4"/>
  <c r="W37" i="4"/>
  <c r="W73" i="4"/>
  <c r="W25" i="4"/>
  <c r="W75" i="4"/>
  <c r="W71" i="4"/>
  <c r="W56" i="4"/>
  <c r="W34" i="4"/>
  <c r="W61" i="4"/>
  <c r="W57" i="4"/>
  <c r="W45" i="4"/>
  <c r="W41" i="4"/>
  <c r="W29" i="4"/>
  <c r="W14" i="4"/>
  <c r="W78" i="4"/>
  <c r="W59" i="4"/>
  <c r="W40" i="4"/>
  <c r="W18" i="4"/>
  <c r="W69" i="4"/>
  <c r="W21" i="4"/>
  <c r="W66" i="4"/>
  <c r="W43" i="4"/>
  <c r="W24" i="4"/>
  <c r="W72" i="4"/>
  <c r="W50" i="4"/>
  <c r="W27" i="4"/>
  <c r="W68" i="4"/>
  <c r="W62" i="4"/>
  <c r="W55" i="4"/>
  <c r="W52" i="4"/>
  <c r="W46" i="4"/>
  <c r="W39" i="4"/>
  <c r="W36" i="4"/>
  <c r="W30" i="4"/>
  <c r="W23" i="4"/>
  <c r="W20" i="4"/>
  <c r="W15" i="4"/>
  <c r="W80" i="4"/>
  <c r="W74" i="4"/>
  <c r="W67" i="4"/>
  <c r="W64" i="4"/>
  <c r="W58" i="4"/>
  <c r="W51" i="4"/>
  <c r="W48" i="4"/>
  <c r="W42" i="4"/>
  <c r="W35" i="4"/>
  <c r="W32" i="4"/>
  <c r="W26" i="4"/>
  <c r="W19" i="4"/>
  <c r="W16" i="4"/>
  <c r="W79" i="4"/>
  <c r="W76" i="4"/>
  <c r="W70" i="4"/>
  <c r="W63" i="4"/>
  <c r="W60" i="4"/>
  <c r="W54" i="4"/>
  <c r="W47" i="4"/>
  <c r="W44" i="4"/>
  <c r="W38" i="4"/>
  <c r="W31" i="4"/>
  <c r="W28" i="4"/>
  <c r="W22" i="4"/>
  <c r="W13" i="4"/>
  <c r="W11" i="4"/>
  <c r="W9" i="4"/>
  <c r="W7" i="4"/>
  <c r="W5" i="4"/>
  <c r="W12" i="4"/>
  <c r="W10" i="4"/>
  <c r="W8" i="4"/>
  <c r="W6" i="4"/>
  <c r="W87" i="4" l="1"/>
  <c r="AO86" i="4"/>
  <c r="AO87" i="4"/>
  <c r="U4" i="4"/>
  <c r="U86" i="4" s="1"/>
  <c r="T4" i="4"/>
  <c r="T86" i="4" s="1"/>
  <c r="S4" i="4"/>
  <c r="S86" i="4" s="1"/>
  <c r="R86" i="4"/>
  <c r="Q4" i="4"/>
  <c r="Q86" i="4" s="1"/>
  <c r="E86" i="4"/>
  <c r="AS86" i="4" s="1"/>
  <c r="AV86" i="4" s="1"/>
  <c r="C86" i="4"/>
  <c r="W86" i="4" l="1"/>
  <c r="D55" i="3"/>
  <c r="W4" i="4" l="1"/>
  <c r="P4" i="4"/>
  <c r="V4" i="4" s="1"/>
  <c r="P10" i="4"/>
  <c r="V10" i="4" s="1"/>
  <c r="P5" i="4"/>
  <c r="V5" i="4" s="1"/>
  <c r="P6" i="4"/>
  <c r="V6" i="4" s="1"/>
  <c r="P7" i="4"/>
  <c r="V7" i="4" s="1"/>
  <c r="P12" i="4"/>
  <c r="V12" i="4" s="1"/>
  <c r="P8" i="4"/>
  <c r="V8" i="4" s="1"/>
  <c r="P18" i="4"/>
  <c r="V18" i="4" s="1"/>
  <c r="P13" i="4"/>
  <c r="V13" i="4" s="1"/>
  <c r="P11" i="4"/>
  <c r="V11" i="4" s="1"/>
  <c r="P15" i="4"/>
  <c r="V15" i="4" s="1"/>
  <c r="P14" i="4"/>
  <c r="V14" i="4" s="1"/>
  <c r="P20" i="4"/>
  <c r="V20" i="4" s="1"/>
  <c r="P21" i="4"/>
  <c r="V21" i="4" s="1"/>
  <c r="P16" i="4"/>
  <c r="V16" i="4" s="1"/>
  <c r="P17" i="4"/>
  <c r="V17" i="4" s="1"/>
  <c r="P19" i="4"/>
  <c r="V19" i="4" s="1"/>
  <c r="P22" i="4"/>
  <c r="V22" i="4" s="1"/>
  <c r="P68" i="4"/>
  <c r="V68" i="4" s="1"/>
  <c r="P24" i="4"/>
  <c r="V24" i="4" s="1"/>
  <c r="P25" i="4"/>
  <c r="V25" i="4" s="1"/>
  <c r="P27" i="4"/>
  <c r="V27" i="4" s="1"/>
  <c r="P23" i="4"/>
  <c r="V23" i="4" s="1"/>
  <c r="P77" i="4"/>
  <c r="V77" i="4" s="1"/>
  <c r="P28" i="4"/>
  <c r="V28" i="4" s="1"/>
  <c r="P30" i="4"/>
  <c r="V30" i="4" s="1"/>
  <c r="P31" i="4"/>
  <c r="V31" i="4" s="1"/>
  <c r="P73" i="4"/>
  <c r="V73" i="4" s="1"/>
  <c r="P34" i="4"/>
  <c r="V34" i="4" s="1"/>
  <c r="P69" i="4"/>
  <c r="V69" i="4" s="1"/>
  <c r="P37" i="4"/>
  <c r="V37" i="4" s="1"/>
  <c r="P41" i="4"/>
  <c r="V41" i="4" s="1"/>
  <c r="P38" i="4"/>
  <c r="V38" i="4" s="1"/>
  <c r="P48" i="4"/>
  <c r="V48" i="4" s="1"/>
  <c r="P39" i="4"/>
  <c r="V39" i="4" s="1"/>
  <c r="P40" i="4"/>
  <c r="V40" i="4" s="1"/>
  <c r="P42" i="4"/>
  <c r="V42" i="4" s="1"/>
  <c r="P43" i="4"/>
  <c r="V43" i="4" s="1"/>
  <c r="P44" i="4"/>
  <c r="V44" i="4" s="1"/>
  <c r="P45" i="4"/>
  <c r="V45" i="4" s="1"/>
  <c r="P46" i="4"/>
  <c r="V46" i="4" s="1"/>
  <c r="P26" i="4"/>
  <c r="V26" i="4" s="1"/>
  <c r="P62" i="4"/>
  <c r="V62" i="4" s="1"/>
  <c r="P54" i="4"/>
  <c r="V54" i="4" s="1"/>
  <c r="P70" i="4"/>
  <c r="V70" i="4" s="1"/>
  <c r="P49" i="4"/>
  <c r="V49" i="4" s="1"/>
  <c r="P32" i="4"/>
  <c r="V32" i="4" s="1"/>
  <c r="P50" i="4"/>
  <c r="V50" i="4" s="1"/>
  <c r="P51" i="4"/>
  <c r="V51" i="4" s="1"/>
  <c r="P53" i="4"/>
  <c r="V53" i="4" s="1"/>
  <c r="P33" i="4"/>
  <c r="V33" i="4" s="1"/>
  <c r="P52" i="4"/>
  <c r="V52" i="4" s="1"/>
  <c r="P55" i="4"/>
  <c r="V55" i="4" s="1"/>
  <c r="P67" i="4"/>
  <c r="V67" i="4" s="1"/>
  <c r="P56" i="4"/>
  <c r="V56" i="4" s="1"/>
  <c r="P29" i="4"/>
  <c r="V29" i="4" s="1"/>
  <c r="P35" i="4"/>
  <c r="V35" i="4" s="1"/>
  <c r="P57" i="4"/>
  <c r="V57" i="4" s="1"/>
  <c r="P36" i="4"/>
  <c r="V36" i="4" s="1"/>
  <c r="P58" i="4"/>
  <c r="V58" i="4" s="1"/>
  <c r="P59" i="4"/>
  <c r="V59" i="4" s="1"/>
  <c r="P60" i="4"/>
  <c r="V60" i="4" s="1"/>
  <c r="P61" i="4"/>
  <c r="V61" i="4" s="1"/>
  <c r="P63" i="4"/>
  <c r="V63" i="4" s="1"/>
  <c r="P64" i="4"/>
  <c r="V64" i="4" s="1"/>
  <c r="P65" i="4"/>
  <c r="V65" i="4" s="1"/>
  <c r="P47" i="4"/>
  <c r="V47" i="4" s="1"/>
  <c r="P66" i="4"/>
  <c r="V66" i="4" s="1"/>
  <c r="P71" i="4"/>
  <c r="V71" i="4" s="1"/>
  <c r="P72" i="4"/>
  <c r="V72" i="4" s="1"/>
  <c r="P74" i="4"/>
  <c r="V74" i="4" s="1"/>
  <c r="P75" i="4"/>
  <c r="V75" i="4" s="1"/>
  <c r="P76" i="4"/>
  <c r="V76" i="4" s="1"/>
  <c r="P78" i="4"/>
  <c r="V78" i="4" s="1"/>
  <c r="P79" i="4"/>
  <c r="V79" i="4" s="1"/>
  <c r="P80" i="4"/>
  <c r="V80" i="4" s="1"/>
  <c r="C16" i="2" l="1"/>
  <c r="C36" i="1"/>
  <c r="C25" i="1"/>
  <c r="C53" i="1"/>
  <c r="C45" i="1"/>
  <c r="C26" i="1"/>
  <c r="C51" i="1"/>
  <c r="C39" i="1"/>
  <c r="C42" i="1"/>
  <c r="C34" i="1"/>
  <c r="C50" i="1"/>
  <c r="C14" i="2"/>
  <c r="C13" i="2"/>
  <c r="C15" i="2"/>
  <c r="C47" i="1"/>
  <c r="C28" i="1"/>
  <c r="C32" i="1"/>
  <c r="C27" i="1"/>
  <c r="P88" i="4"/>
  <c r="V88" i="4" s="1"/>
  <c r="P87" i="4"/>
  <c r="V87" i="4" s="1"/>
  <c r="P9" i="4"/>
  <c r="V9" i="4" s="1"/>
  <c r="A1" i="3"/>
  <c r="A1" i="2"/>
  <c r="A1" i="1"/>
  <c r="P86" i="4" l="1"/>
  <c r="V86" i="4" s="1"/>
  <c r="C49" i="1"/>
  <c r="C38" i="1"/>
  <c r="C40" i="1"/>
  <c r="C43" i="1"/>
  <c r="C48" i="1"/>
  <c r="C10" i="2"/>
  <c r="C8" i="2"/>
  <c r="C52" i="1"/>
  <c r="C33" i="1"/>
  <c r="C9" i="2"/>
  <c r="C37" i="1"/>
  <c r="C41" i="1"/>
  <c r="C44" i="1"/>
  <c r="C35" i="1"/>
  <c r="C46" i="1"/>
  <c r="C58" i="1"/>
  <c r="C11" i="2"/>
  <c r="C59" i="1"/>
  <c r="C17" i="2"/>
  <c r="C12" i="2"/>
  <c r="B9" i="5"/>
  <c r="F53" i="1" s="1"/>
  <c r="E14" i="1" l="1"/>
  <c r="E25" i="1" s="1"/>
  <c r="F51" i="1"/>
  <c r="F50" i="1"/>
  <c r="F46" i="1"/>
  <c r="F42" i="1"/>
  <c r="E38" i="1"/>
  <c r="E34" i="1"/>
  <c r="F16" i="1"/>
  <c r="E12" i="1"/>
  <c r="F49" i="1"/>
  <c r="F45" i="1"/>
  <c r="E41" i="1"/>
  <c r="E37" i="1"/>
  <c r="E33" i="1"/>
  <c r="F19" i="1"/>
  <c r="F15" i="1"/>
  <c r="D64" i="3" s="1"/>
  <c r="E11" i="1"/>
  <c r="F48" i="1"/>
  <c r="F44" i="1"/>
  <c r="E40" i="1"/>
  <c r="E36" i="1"/>
  <c r="E32" i="1"/>
  <c r="D67" i="3" s="1"/>
  <c r="F18" i="1"/>
  <c r="E10" i="1"/>
  <c r="F47" i="1"/>
  <c r="F43" i="1"/>
  <c r="D66" i="3" s="1"/>
  <c r="E39" i="1"/>
  <c r="E35" i="1"/>
  <c r="F17" i="1"/>
  <c r="E13" i="1"/>
  <c r="D41" i="3"/>
  <c r="D42" i="3"/>
  <c r="D38" i="3"/>
  <c r="D39" i="3"/>
  <c r="D40" i="3"/>
  <c r="D12" i="3" l="1"/>
  <c r="G22" i="3"/>
  <c r="G14" i="3"/>
  <c r="D22" i="3"/>
  <c r="F52" i="1"/>
  <c r="F54" i="1" s="1"/>
  <c r="F27" i="1"/>
  <c r="G18" i="3"/>
  <c r="D14" i="3"/>
  <c r="D18" i="3"/>
  <c r="G12" i="3"/>
  <c r="E54" i="1"/>
  <c r="J54" i="1" l="1"/>
  <c r="E11" i="2"/>
  <c r="E26" i="1"/>
  <c r="F28" i="1"/>
  <c r="G15" i="2" s="1"/>
  <c r="E12" i="2"/>
  <c r="E17" i="2"/>
  <c r="G9" i="2"/>
  <c r="J18" i="3"/>
  <c r="E9" i="2"/>
  <c r="J14" i="3"/>
  <c r="D26" i="3"/>
  <c r="J12" i="3"/>
  <c r="G26" i="3"/>
  <c r="J22" i="3"/>
  <c r="D43" i="3"/>
  <c r="G13" i="2" l="1"/>
  <c r="G17" i="2"/>
  <c r="G14" i="2"/>
  <c r="G11" i="2"/>
  <c r="E29" i="1"/>
  <c r="E16" i="2"/>
  <c r="E15" i="2"/>
  <c r="I15" i="2" s="1"/>
  <c r="G16" i="2"/>
  <c r="F29" i="1"/>
  <c r="G10" i="2"/>
  <c r="G8" i="2"/>
  <c r="E8" i="2"/>
  <c r="E10" i="2"/>
  <c r="E13" i="2"/>
  <c r="E14" i="2"/>
  <c r="J23" i="3"/>
  <c r="D68" i="3"/>
  <c r="I14" i="2" l="1"/>
  <c r="I13" i="2"/>
  <c r="I16" i="2"/>
  <c r="I10" i="2"/>
  <c r="I11" i="2" l="1"/>
  <c r="I8" i="2"/>
  <c r="I17" i="2"/>
  <c r="E60" i="1"/>
  <c r="I9" i="2"/>
  <c r="F59" i="1"/>
  <c r="G12" i="2" s="1"/>
  <c r="F60" i="1" l="1"/>
  <c r="I12" i="2"/>
  <c r="E18" i="2"/>
  <c r="I18" i="2" l="1"/>
  <c r="G18" i="2"/>
</calcChain>
</file>

<file path=xl/sharedStrings.xml><?xml version="1.0" encoding="utf-8"?>
<sst xmlns="http://schemas.openxmlformats.org/spreadsheetml/2006/main" count="1754" uniqueCount="856">
  <si>
    <t>Debit</t>
  </si>
  <si>
    <t>Credit</t>
  </si>
  <si>
    <t>Entry</t>
  </si>
  <si>
    <t>Notes</t>
  </si>
  <si>
    <t>Totals</t>
  </si>
  <si>
    <t>of Resources</t>
  </si>
  <si>
    <t>Deferred Outflows</t>
  </si>
  <si>
    <t>Deferred Inflows</t>
  </si>
  <si>
    <t xml:space="preserve">Difference between actual and </t>
  </si>
  <si>
    <t>expected experience</t>
  </si>
  <si>
    <t>Net difference between projected and</t>
  </si>
  <si>
    <t xml:space="preserve">Contributions subsequent to the </t>
  </si>
  <si>
    <t>measurement date</t>
  </si>
  <si>
    <t>Total</t>
  </si>
  <si>
    <t>Sub</t>
  </si>
  <si>
    <t>Calculated</t>
  </si>
  <si>
    <t>(f)</t>
  </si>
  <si>
    <t>(b1)</t>
  </si>
  <si>
    <t>(b2)</t>
  </si>
  <si>
    <t>Change in proportion and differences</t>
  </si>
  <si>
    <t>between agency's contributions and</t>
  </si>
  <si>
    <t>proportionate share of contributions</t>
  </si>
  <si>
    <t>Rounding</t>
  </si>
  <si>
    <t>Description</t>
  </si>
  <si>
    <t>Difference between expected/actual experience</t>
  </si>
  <si>
    <t>Change in proportion; contributions during measurement period</t>
  </si>
  <si>
    <t>Difference between projected/actual investment earnings</t>
  </si>
  <si>
    <t>1)</t>
  </si>
  <si>
    <t>2)</t>
  </si>
  <si>
    <t>Year ended June 30:</t>
  </si>
  <si>
    <t>Net Deferred</t>
  </si>
  <si>
    <t>3)</t>
  </si>
  <si>
    <t>Deferred Outflow Amount</t>
  </si>
  <si>
    <t>Agency Num</t>
  </si>
  <si>
    <t>Agency Name</t>
  </si>
  <si>
    <t>Total Contributions</t>
  </si>
  <si>
    <t>N C SCHOOL OF SCIENCE &amp; MATHEMATICS</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</si>
  <si>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</si>
  <si>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</si>
  <si>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</si>
  <si>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</si>
  <si>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</si>
  <si>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</si>
  <si>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</si>
  <si>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</si>
  <si>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</si>
  <si>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</si>
  <si>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</si>
  <si>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 HEALTH CARE SYSTEM</t>
  </si>
  <si>
    <t>WESTERN CAROLINA UNIVERSITY</t>
  </si>
  <si>
    <t>WINSTON-SALEM STATE UNIVERSITY</t>
  </si>
  <si>
    <t>UNIVERSITY OF NORTH CAROLINA AT ASHEVILLE</t>
  </si>
  <si>
    <t>UNIVERSITY OF NORTH CAROLINA AT CHARLOTTE</t>
  </si>
  <si>
    <t>UNIVERSITY OF NORTH CAROLINA AT WILMINGTON</t>
  </si>
  <si>
    <t>ALAMANCE COMMUNITY COLLEGE</t>
  </si>
  <si>
    <t>SOUTH PIEDMONT COMMUNITY COLLEGE</t>
  </si>
  <si>
    <t>BEAUFORT COUNTY COMMUNITY COLLEGE</t>
  </si>
  <si>
    <t>BLADEN COMMUNITY COLLEGE</t>
  </si>
  <si>
    <t>BRUNSWICK COMMUNITY COLLEGE</t>
  </si>
  <si>
    <t>ASHEVILLE-BUNCOMBE TECHNICAL COLLEGE</t>
  </si>
  <si>
    <t>WESTERN PIEDMONT COMM COLLEGE</t>
  </si>
  <si>
    <t>CALDWELL COMMUNITY COLLEGE</t>
  </si>
  <si>
    <t>CARTERET COMMUNITY COLLEGE</t>
  </si>
  <si>
    <t>CATAWBA VALLEY COMMUNITY COLLEGE</t>
  </si>
  <si>
    <t>TRI-COUNTY COMMUNITY COLLEGE</t>
  </si>
  <si>
    <t>CLEVELAND TECHNICAL COLLEGE</t>
  </si>
  <si>
    <t>SOUTHEASTERN COMMUNITY COLLEGE</t>
  </si>
  <si>
    <t>CRAVEN COMMUNITY COLLEGE</t>
  </si>
  <si>
    <t>FAYETTEVILLE TECHNICAL COMMUNITY COLLEGE</t>
  </si>
  <si>
    <t>DAVIDSON COUNTY COMMUNITY COLLEGE</t>
  </si>
  <si>
    <t>JAMES SPRUNT TECHNICAL COLLEGE</t>
  </si>
  <si>
    <t>DURHAM TECHNICAL INSTITUTE</t>
  </si>
  <si>
    <t>EDGECOMBE TECHNICAL COLLEGE</t>
  </si>
  <si>
    <t>FORSYTH TECHNICAL INSTITUTE</t>
  </si>
  <si>
    <t>GASTON COLLEGE</t>
  </si>
  <si>
    <t>GUILFORD TECHNICAL COMMUNITY COLLEGE</t>
  </si>
  <si>
    <t>HALIFAX COMMUNITY COLLEGE</t>
  </si>
  <si>
    <t>HAYWOOD TECHNICAL COLLEGE</t>
  </si>
  <si>
    <t>BLUE RIDGE COMMUNITY COLLEGE</t>
  </si>
  <si>
    <t>ROANOKE-CHOWAN COMMUNITY COLLEGE</t>
  </si>
  <si>
    <t>MITCHELL COMMUNITY COLLEGE</t>
  </si>
  <si>
    <t>SOUTHWESTERN COMMUNITY COLLEGE</t>
  </si>
  <si>
    <t>JOHNSTON TECHNICAL COLLEGE</t>
  </si>
  <si>
    <t>CENTRAL CAROLINA COMMUNITY COLLEGE</t>
  </si>
  <si>
    <t>LENOIR COUNTY COMMUNITY COLLEGE</t>
  </si>
  <si>
    <t>MARTIN COMMUNITY COLLEGE</t>
  </si>
  <si>
    <t>MCDOWELL TECHNICAL COLLEGE</t>
  </si>
  <si>
    <t>CENTRAL PIEDMONT COMMUNITY COLLEGE</t>
  </si>
  <si>
    <t>MAYLAND TECHNICAL COLLEGE</t>
  </si>
  <si>
    <t>MONTGOMERY COMMUNITY COLLEGE</t>
  </si>
  <si>
    <t>SANDHILLS COMMUNITY COLLEGE</t>
  </si>
  <si>
    <t>NASH TECHNICAL COLLEGE</t>
  </si>
  <si>
    <t>CAPE FEAR COMMUNITY COLLEGE</t>
  </si>
  <si>
    <t>COASTAL CAROLINA COMMUNITY COLLEGE</t>
  </si>
  <si>
    <t>PAMLICO COMMUNITY COLLEGE</t>
  </si>
  <si>
    <t>COLLEGE OF THE ALBEMARLE</t>
  </si>
  <si>
    <t>PIEDMONT COMMUNITY COLLEGE</t>
  </si>
  <si>
    <t>PITT COMMUNITY COLLEGE</t>
  </si>
  <si>
    <t>RANDOLPH COMMUNITY COLLEGE</t>
  </si>
  <si>
    <t>RICHMOND TECHNICAL COLLEGE</t>
  </si>
  <si>
    <t>ROBESON COMMUNITY COLLEGE</t>
  </si>
  <si>
    <t>ROCKINGHAM COMMUNITY COLLEGE</t>
  </si>
  <si>
    <t>ROWAN-CABARRUS COMMUNITY COLLEGE</t>
  </si>
  <si>
    <t>ISOTHERMAL COMMUNITY COLLEGE</t>
  </si>
  <si>
    <t>SAMPSON COMMUNITY COLLEGE</t>
  </si>
  <si>
    <t>STANLY COMMUNITY COLLEGE</t>
  </si>
  <si>
    <t>SURRY COMMUNITY COLLEGE</t>
  </si>
  <si>
    <t>VANCE-GRANVILLE COMMUNITY COLLEGE</t>
  </si>
  <si>
    <t>WAKE TECHNICAL COLLEGE</t>
  </si>
  <si>
    <t>WAYNE COMMUNITY COLLEGE</t>
  </si>
  <si>
    <t>WILKES COMMUNITY COLLEGE</t>
  </si>
  <si>
    <t>WILSON COMMUNITY COLLEGE</t>
  </si>
  <si>
    <t>NC HOUSING FINANCE AGENCY</t>
  </si>
  <si>
    <t>Deferred Inflows Of Resources</t>
  </si>
  <si>
    <t>Pension Expense</t>
  </si>
  <si>
    <t>Changes In Proportion And Differences Between Employer Contributions And Proportional Share Of Contributions</t>
  </si>
  <si>
    <t>Differences Between Expected And Actual Experience</t>
  </si>
  <si>
    <t>Net Difference Between Projected And Actual Investment Earnings On Plan Investments</t>
  </si>
  <si>
    <t>Proportional Share Of Pension Expense</t>
  </si>
  <si>
    <t>Net Amortization Of Deferred Amounts From Changes In Proportion And Differences Between Employer Contributions And Proportional Share Of Contributions</t>
  </si>
  <si>
    <t>Total Employer Pension Expense</t>
  </si>
  <si>
    <t>Amortization</t>
  </si>
  <si>
    <t>Amortization Rounding Adjustment</t>
  </si>
  <si>
    <t>4)</t>
  </si>
  <si>
    <t>Additions</t>
  </si>
  <si>
    <t>Liability</t>
  </si>
  <si>
    <t>Changes in Long-term Liabilities (Worksheet 310)</t>
  </si>
  <si>
    <t>Restatement–net position</t>
  </si>
  <si>
    <t>Number</t>
  </si>
  <si>
    <t>Deferred Outflows Of Resources</t>
  </si>
  <si>
    <t>Changes Of Assumptions</t>
  </si>
  <si>
    <t>TOTAL Recognition of Deferred (Inflows)/Outflows</t>
  </si>
  <si>
    <t>Changes of assumptions</t>
  </si>
  <si>
    <t>d25 above</t>
  </si>
  <si>
    <t>Rounded, if necessary</t>
  </si>
  <si>
    <t>(b1) and (b2)</t>
  </si>
  <si>
    <t>Entity</t>
  </si>
  <si>
    <t>CURRENT FISCAL YEAR ENTRIES</t>
  </si>
  <si>
    <t>After Measurement Date (MANUAL ENTRY)</t>
  </si>
  <si>
    <t>investments (see note below)</t>
  </si>
  <si>
    <t>Choose Your Agency:</t>
  </si>
  <si>
    <t>Account Name</t>
  </si>
  <si>
    <t>Debit (Credit)</t>
  </si>
  <si>
    <t>13th Period</t>
  </si>
  <si>
    <r>
      <t>Deletions</t>
    </r>
    <r>
      <rPr>
        <i/>
        <sz val="10"/>
        <rFont val="Arial"/>
        <family val="2"/>
      </rPr>
      <t xml:space="preserve"> (see Note 1)</t>
    </r>
  </si>
  <si>
    <t xml:space="preserve">Recognized in </t>
  </si>
  <si>
    <t>Amount to be</t>
  </si>
  <si>
    <t>Employer Balances of Deferred Outflows of Resources and Deferred Inflows of</t>
  </si>
  <si>
    <t>Schedule of the Net Amount of the Employer's Balances of Deferred Outflows of</t>
  </si>
  <si>
    <t>Resources and Deferred Inflows of Resources That will be Recognized in</t>
  </si>
  <si>
    <t>Amount of the Employer's Balance of Deferred Outflows of Resources That will be</t>
  </si>
  <si>
    <t>Prior year adjustments</t>
  </si>
  <si>
    <r>
      <t xml:space="preserve">Due within one year </t>
    </r>
    <r>
      <rPr>
        <i/>
        <sz val="10"/>
        <rFont val="Arial"/>
        <family val="2"/>
      </rPr>
      <t>(see Note 2)</t>
    </r>
  </si>
  <si>
    <t>Entry, Net</t>
  </si>
  <si>
    <t>Calculated by OSC</t>
  </si>
  <si>
    <t>See entry #1 above</t>
  </si>
  <si>
    <t>Colleague</t>
  </si>
  <si>
    <t>Entity Type:</t>
  </si>
  <si>
    <t>TOTAL UNC SYSTEM</t>
  </si>
  <si>
    <t>TOTAL COMMUNITY COLLEGES</t>
  </si>
  <si>
    <t>TOTAL OTHER COMPONENT UNITS</t>
  </si>
  <si>
    <t>STATE EDUCATION ASSISTANCE AUTHORITY</t>
  </si>
  <si>
    <t>Component Units</t>
  </si>
  <si>
    <t>Employer Number</t>
  </si>
  <si>
    <t>Employer</t>
  </si>
  <si>
    <t>Employer Name</t>
  </si>
  <si>
    <t>OSA's Audit Report</t>
  </si>
  <si>
    <t>STATE HEALTH PLAN</t>
  </si>
  <si>
    <t>NC STATE PORTS AUTHORITY</t>
  </si>
  <si>
    <t>NC GLOBAL TRANSPARK AUTHORITY</t>
  </si>
  <si>
    <t>Present Value Of Future Salary Allocation</t>
  </si>
  <si>
    <t>Net Deferred Outflow</t>
  </si>
  <si>
    <t>Net Deferred Inflow</t>
  </si>
  <si>
    <t>BEGINNING BALANCES (FORMULAS)</t>
  </si>
  <si>
    <t>Miscellaneous expense</t>
  </si>
  <si>
    <t>Miscellaneous income</t>
  </si>
  <si>
    <t>Reversal of beginning deferred outflow balance – per actuary</t>
  </si>
  <si>
    <t>Adjustment for PY Contributions (FORMULAS)</t>
  </si>
  <si>
    <t>Needed for account numbers (NCAS/Colleague). Hidden on Summary Tab (columns Q/R). In Lookup formula, column number on data tab plus 1.</t>
  </si>
  <si>
    <t>&lt;&lt; Click to see a list of agencies (sorted by agency type).</t>
  </si>
  <si>
    <t>(d1), (d2), and (d3)</t>
  </si>
  <si>
    <t>(a1) and (a2)</t>
  </si>
  <si>
    <t>(a1)</t>
  </si>
  <si>
    <t>(a2)</t>
  </si>
  <si>
    <t>(c)</t>
  </si>
  <si>
    <t>(d1)</t>
  </si>
  <si>
    <t>(d2)</t>
  </si>
  <si>
    <t>(d3)</t>
  </si>
  <si>
    <t>(e)</t>
  </si>
  <si>
    <t>See Summary tab, Note 1</t>
  </si>
  <si>
    <t>Note: This template was developed by the NC Office of the State Controller. If you have</t>
  </si>
  <si>
    <t>Not Needed</t>
  </si>
  <si>
    <t>Note:</t>
  </si>
  <si>
    <t>Deferred outflows for OPEB</t>
  </si>
  <si>
    <t>Net OPEB liability</t>
  </si>
  <si>
    <t>Deferred inflows for OPEB</t>
  </si>
  <si>
    <t>Beginning net OPEB liability</t>
  </si>
  <si>
    <t>Deferred outflow for OPEB</t>
  </si>
  <si>
    <t>Change in OPEB Amounts (FORMULAS)</t>
  </si>
  <si>
    <t>OPEB expense</t>
  </si>
  <si>
    <t>Net OPEB liability–noncurrent</t>
  </si>
  <si>
    <t>(To record changes in the net OPEB liability, deferred outflows/inflows of resources</t>
  </si>
  <si>
    <t>for OPEB, OPEB expense, and reversal of deferred outflow in entry 1)</t>
  </si>
  <si>
    <t xml:space="preserve">(To record OPEB contributions after the measurement date) </t>
  </si>
  <si>
    <t>Change in net OPEB liability recognized immediately</t>
  </si>
  <si>
    <t>Change in the net OPEB liability</t>
  </si>
  <si>
    <t>Differences between expected and actual experience with regard to economic and demographic factors in the measurement of the total OPEB liability should be included in collective OPEB expense, beginning in the current measurement period, using a systematic and rational method over a closed period equal to the average of the expected remaining service lives of all employees that are provided with OPEB through the OPEB plan (active employees and inactive employees) determined as of the beginning of the measurement period. The portion not included in collective OPEB expense should be included in collective deferred outflows of resources or deferred inflows of resources related to OPEB. (GASB 75, paragraph 86a)</t>
  </si>
  <si>
    <t>Experience gains represent actual experience that increases the total OPEB liability less than projected or decreases the total OPEB liability greater than projected. These amounts result in decreases in OPEB expense and increases in deferred inflows of resources. (Implementation Guide No. 2017-3, page 181)</t>
  </si>
  <si>
    <t>The difference between projected and actual earnings on OPEB plan investments should be included in collective OPEB expense using a systematic and rational method over a closed five-year period, beginning in the current measurement period. The amount not included in collective OPEB expense should be included in collective deferred outflows of resources or deferred inflows of resources related to OPEB. Collective deferred outflows of resources and deferred inflows of resources arising from differences between projected and actual OPEB plan investment earnings in different measurement periods should be aggregated and included as a net collective deferred outflow of resources related to OPEB or a net collective deferred inflow of resources related to OPEB. (GASB 75, paragraph 86b)</t>
  </si>
  <si>
    <t>Investment returns that are greater than projected decrease OPEB expense and increase deferred inflows of resources.</t>
  </si>
  <si>
    <t>Changes of assumptions about future economic or demographic factors or of other inputs should be included in collective OPEB expense, beginning in the current measurement period, using a systematic and rational method over a closed period equal to the average of the expected remaining service lives of all employees that are provided with OPEB through the OPEB plan (active employees and inactive employees) determined as of the beginning of the measurement period. The portion not included in collective OPEB expense should be included in collective deferred outflows of resources or deferred inflows of resources related to OPEB. (GASB 75, paragraph 86a)</t>
  </si>
  <si>
    <t>If there is a change in the employer’s proportion of the collective net OPEB liability since the prior measurement date, the net effect of that change on the employer’s proportionate shares of the collective net OPEB liability and collective deferred outflows of resources and deferred inflows of resources related to OPEB, determined as of the beginning of the measurement period, should be recognized in the employer’s OPEB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OPEB through the OPEB plan (active employees and inactive employees) determined as of the beginning of the measurement period. The amount not recognized in the employer’s OPEB expense should be reported as a deferred outflow of resources or deferred inflow of resources related to OPEB. (GASB 75, paragraph 64)</t>
  </si>
  <si>
    <t>If the employer's actual contributions exceed its proportionate share of total contributions, the difference increases OPEB expense and results in a deferred outflow of resources. (Implementation Guide No. 2017-3, page 192)</t>
  </si>
  <si>
    <t>Contributions to the OPEB plan from the employer subsequent to the measurement date of the collective net OPEB liability and before the end of the employer’s reporting period should be reported as a deferred outflow of resources related to OPEB. (GASB 75, paragraph 68)</t>
  </si>
  <si>
    <t>Components of collective OPEB expense include—service cost, interest on the total OPEB liability, effect of changes in benefit terms, projected investment income, employee contributions, expensed portions of deferred outflows/inflows of resources related to OPEB, plan administrative expense, and other changes in fiduciary net position. Contributions from employers or nonemployer contributing entities should not be included in OPEB expense. (GASB 75, paragraph 86)</t>
  </si>
  <si>
    <t>For contributions to the OPEB plan other than those to separately finance specific liabilities of an individual employer or nonemployer contributing entity to the OPEB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OPEB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OPEB through the OPEB plan (active employees and inactive employees) determined as of the beginning of the measurement period. The amount not recognized in the employer’s OPEB expense should be reported as a deferred outflow of resources or deferred inflow of resources related to OPEB. (GASB 75, paragraph 65)</t>
  </si>
  <si>
    <t>Resources Related to OPEB by Classification:</t>
  </si>
  <si>
    <t>OPEB Expense</t>
  </si>
  <si>
    <t>actual earnings on OPEB plan</t>
  </si>
  <si>
    <r>
      <rPr>
        <i/>
        <u/>
        <sz val="10"/>
        <rFont val="Arial"/>
        <family val="2"/>
      </rPr>
      <t>Note</t>
    </r>
    <r>
      <rPr>
        <i/>
        <sz val="10"/>
        <rFont val="Arial"/>
        <family val="2"/>
      </rPr>
      <t>: Collective deferred outflows of resources and deferred inflows of resources arising from differences between projected and actual OPEB plan investment earnings in different measurement periods should be aggregated and included as a net collective deferred outflow of resources related to OPEB or a net collective deferred inflow of resources related to OPEB. (GASB 75, paragraph 86b and 96h(3))</t>
    </r>
  </si>
  <si>
    <t>Source: GASB 75, paragraph 96h(1) thru (5)</t>
  </si>
  <si>
    <t>OPEB Expense:</t>
  </si>
  <si>
    <t>Note: negative amounts indicate amortization of OPEB deferrals that will decrease</t>
  </si>
  <si>
    <t>OPEB expense.</t>
  </si>
  <si>
    <t>Source: GASB 75, paragraph 96i(1)</t>
  </si>
  <si>
    <t>Included as a Reduction of the Net OPEB Liability in the Fiscal Year Ended</t>
  </si>
  <si>
    <t>Source: GASB 75, paragraph 96i(2)</t>
  </si>
  <si>
    <t>Net OPEB</t>
  </si>
  <si>
    <r>
      <rPr>
        <i/>
        <u/>
        <sz val="10"/>
        <rFont val="Arial"/>
        <family val="2"/>
      </rPr>
      <t>Note 1</t>
    </r>
    <r>
      <rPr>
        <i/>
        <sz val="10"/>
        <rFont val="Arial"/>
        <family val="2"/>
      </rPr>
      <t>: Employers should disclose the net change amount (instead of both additions and deletions) and reference that more information on the net OPEB liability is available in the separate note on OPEB plans. Since the amount reported is the employer’s proportionate share of the collective net OPEB liability, additions and deletions are not relevant for this disclosure. The collective net OPEB liability equals the total OPEB liability for the OPEB plan, net of the plan’s fiduciary net position.</t>
    </r>
  </si>
  <si>
    <r>
      <rPr>
        <i/>
        <u/>
        <sz val="10"/>
        <rFont val="Arial"/>
        <family val="2"/>
      </rPr>
      <t>Note 2</t>
    </r>
    <r>
      <rPr>
        <i/>
        <sz val="10"/>
        <rFont val="Arial"/>
        <family val="2"/>
      </rPr>
      <t>: If the employer reports a net OPEB liability under Statement 75, the amount of the net OPEB liability that is “due” within one year is the amount of benefit payments expected to be paid within one year, net of the OPEB plan’s fiduciary net position available to pay that amount. Therefore, there would be no amount that is “due” within one year unless the OPEB plan’s fiduciary net position is less than the amount of benefit payments expected to be paid within one year. (Comprehensive Implementation Guide, 7.22.6)</t>
    </r>
  </si>
  <si>
    <t>GASB 75 Template – RHBF</t>
  </si>
  <si>
    <t>RHBF Number:</t>
  </si>
  <si>
    <t>GASB 75 Journal Entries – RHBF</t>
  </si>
  <si>
    <t>RHBF contributions</t>
  </si>
  <si>
    <t xml:space="preserve">Calculated by multiplying the covered payroll for RHBF (on an accrual basis) </t>
  </si>
  <si>
    <t>GASB 75 Disclosures – RHBF</t>
  </si>
  <si>
    <t>Changes of Assumptions</t>
  </si>
  <si>
    <t>Net OPEB Liability</t>
  </si>
  <si>
    <t>NOPEBL Rounding Adjustment</t>
  </si>
  <si>
    <t>Total Employer OPEB Expense</t>
  </si>
  <si>
    <t>Proportional Share Of OPEB Expense</t>
  </si>
  <si>
    <t>NORTH CAROLINA BOARD OF OPTICIANS</t>
  </si>
  <si>
    <t>THE NORTH CAROLINA LEADERSHIP ACADEMY</t>
  </si>
  <si>
    <t>At the beginning of the period in which the provisions of Statement 75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OPEB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OPEB should be recognized. (GASB 71, paragraph 3)</t>
  </si>
  <si>
    <t>**check asset/liability account depending on whether it's an asset or liability</t>
  </si>
  <si>
    <t>NORTH CAROLINA EDUCATION LOTTERY</t>
  </si>
  <si>
    <t>DEPARTMENT OF JUSTICE</t>
  </si>
  <si>
    <t>DEPARTMENT OF NATURAL AND CULTURAL RESOURCES</t>
  </si>
  <si>
    <t>ADMINISTRATIVE OFFICE OF THE COURTS</t>
  </si>
  <si>
    <t>DEPARTMENT OF ADMINISTRATION</t>
  </si>
  <si>
    <t>WILDLIFE RESOURCES COMMISSION</t>
  </si>
  <si>
    <t>STATE BOARD OF ELECTIONS</t>
  </si>
  <si>
    <t>GENERAL ASSEMBLY</t>
  </si>
  <si>
    <t>DEPARTMENT OF COMMERCE</t>
  </si>
  <si>
    <t>DEPARTMENT OF PUBLIC SAFETY</t>
  </si>
  <si>
    <t>UNIVERSITY OF NORTH CAROLINA PRESS</t>
  </si>
  <si>
    <t>DEPARTMENT OF PUBLIC INSTRUCTION</t>
  </si>
  <si>
    <t>YANCEY COUNTY SCHOOLS</t>
  </si>
  <si>
    <t>ALAMANCE COUNTY SCHOOLS</t>
  </si>
  <si>
    <t>CLOVER GARDEN CHARTER SCHOOL</t>
  </si>
  <si>
    <t>RIVER MILL ACADEMY CHARTER</t>
  </si>
  <si>
    <t>THE HAWBRIDGE SCHOOL</t>
  </si>
  <si>
    <t>ALEXANDER COUNTY SCHOOLS</t>
  </si>
  <si>
    <t>ALLEGHANY COUNTY SCHOOLS</t>
  </si>
  <si>
    <t>ANSON COUNTY SCHOOLS</t>
  </si>
  <si>
    <t>ASHE COUNTY SCHOOLS</t>
  </si>
  <si>
    <t>AVERY COUNTY SCHOOLS</t>
  </si>
  <si>
    <t>GRANDFATHER ACADEMY</t>
  </si>
  <si>
    <t>BEAUFORT COUNTY SCHOOLS</t>
  </si>
  <si>
    <t>BERTIE COUNTY SCHOOLS</t>
  </si>
  <si>
    <t>BLADEN COUNTY SCHOOLS</t>
  </si>
  <si>
    <t>BRUNSWICK COUNTY SCHOOLS</t>
  </si>
  <si>
    <t>BUNCOMBE COUNTY SCHOOLS</t>
  </si>
  <si>
    <t>EVERGREEN COMMUNITY CHARTER SCHOOL</t>
  </si>
  <si>
    <t>ASHEVILLE CITY SCHOOLS</t>
  </si>
  <si>
    <t>BURKE COUNTY SCHOOLS</t>
  </si>
  <si>
    <t>CABARRUS COUNTY SCHOOLS</t>
  </si>
  <si>
    <t>CAROLINA INTERNATIONAL SCHOOL</t>
  </si>
  <si>
    <t>KANNAPOLIS CITY SCHOOLS</t>
  </si>
  <si>
    <t>CALDWELL COUNTY SCHOOLS</t>
  </si>
  <si>
    <t>CAMDEN COUNTY SCHOOLS</t>
  </si>
  <si>
    <t>CARTERET COUNTY SCHOOLS</t>
  </si>
  <si>
    <t>CASWELL COUNTY SCHOOLS</t>
  </si>
  <si>
    <t>CATAWBA COUNTY SCHOOLS</t>
  </si>
  <si>
    <t>HICKORY CITY SCHOOLS</t>
  </si>
  <si>
    <t>NEWTON-CONOVER CITY SCHOOLS</t>
  </si>
  <si>
    <t>CHATHAM COUNTY SCHOOLS</t>
  </si>
  <si>
    <t>CHEROKEE COUNTY SCHOOLS</t>
  </si>
  <si>
    <t>EDENTON-CHOWAN COUNTY SCHOOLS</t>
  </si>
  <si>
    <t>CLAY COUNTY SCHOOLS</t>
  </si>
  <si>
    <t>CLEVELAND COUNTY SCHOOLS</t>
  </si>
  <si>
    <t>COLUMBUS COUNTY SCHOOLS</t>
  </si>
  <si>
    <t>WHITEVILLE CITY SCHOOLS</t>
  </si>
  <si>
    <t>CUMBERLAND COUNTY SCHOOLS</t>
  </si>
  <si>
    <t>CURRITUCK COUNTY SCHOOLS</t>
  </si>
  <si>
    <t>DARE COUNTY SCHOOLS</t>
  </si>
  <si>
    <t>DAVIDSON COUNTY SCHOOLS</t>
  </si>
  <si>
    <t>LEXINGTON CITY SCHOOLS</t>
  </si>
  <si>
    <t>THOMASVILLE CITY SCHOOLS</t>
  </si>
  <si>
    <t>DAVIE COUNTY SCHOOLS</t>
  </si>
  <si>
    <t>CORNERSTONE ACADEMY</t>
  </si>
  <si>
    <t>DUPLIN COUNTY SCHOOLS</t>
  </si>
  <si>
    <t>DURHAM PUBLIC SCHOOLS</t>
  </si>
  <si>
    <t>HEALTHY START ACADEMY</t>
  </si>
  <si>
    <t>VOYAGER ACADEMY</t>
  </si>
  <si>
    <t>BEAR GRASS CHARTER SCHOOL</t>
  </si>
  <si>
    <t>INVEST COLLEGIATE CHARTER (BUNCOMBE)</t>
  </si>
  <si>
    <t>PIONEER SPRINGS COMMUNITY CHARTER</t>
  </si>
  <si>
    <t>EDGECOMBE COUNTY SCHOOLS</t>
  </si>
  <si>
    <t>WINSTON-SALEM-FORSYTH COUNTY SCHOOLS</t>
  </si>
  <si>
    <t>ARTS BASED ELEMENTARY CHARTER</t>
  </si>
  <si>
    <t>FRANKLIN COUNTY SCHOOLS</t>
  </si>
  <si>
    <t>A CHILDS GARDEN CHARTER (AKA CROSS CREEK CHARTER)</t>
  </si>
  <si>
    <t>GASTON COUNTY SCHOOLS</t>
  </si>
  <si>
    <t>GATES COUNTY SCHOOLS</t>
  </si>
  <si>
    <t>GRAHAM COUNTY SCHOOLS</t>
  </si>
  <si>
    <t>GREENE COUNTY SCHOOLS</t>
  </si>
  <si>
    <t>GUILFORD COUNTY SCHOOLS</t>
  </si>
  <si>
    <t>HALIFAX COUNTY SCHOOLS</t>
  </si>
  <si>
    <t>ROANOKE RAPIDS CITY SCHOOLS</t>
  </si>
  <si>
    <t>WELDON CITY SCHOOLS</t>
  </si>
  <si>
    <t>HARNETT COUNTY SCHOOLS</t>
  </si>
  <si>
    <t>HAYWOOD COUNTY SCHOOLS</t>
  </si>
  <si>
    <t>HENDERSON COUNTY SCHOOLS</t>
  </si>
  <si>
    <t>MOUNTAIN COMMUNITY SCHOOL</t>
  </si>
  <si>
    <t>HERTFORD COUNTY SCHOOLS</t>
  </si>
  <si>
    <t>HOKE COUNTY SCHOOLS</t>
  </si>
  <si>
    <t>HYDE COUNTY SCHOOLS</t>
  </si>
  <si>
    <t>SUCCESS INSTITUTE</t>
  </si>
  <si>
    <t>MOORESVILLE CITY SCHOOLS</t>
  </si>
  <si>
    <t>JACKSON COUNTY SCHOOLS</t>
  </si>
  <si>
    <t>JOHNSTON COUNTY SCHOOLS</t>
  </si>
  <si>
    <t>NEUSE CHARTER SCHOOL</t>
  </si>
  <si>
    <t>JONES COUNTY SCHOOLS</t>
  </si>
  <si>
    <t>LENOIR COUNTY SCHOOLS</t>
  </si>
  <si>
    <t>CHILDRENS VILLAGE ACADEMY</t>
  </si>
  <si>
    <t>LINCOLN COUNTY SCHOOLS</t>
  </si>
  <si>
    <t>MACON COUNTY SCHOOLS</t>
  </si>
  <si>
    <t>MADISON COUNTY SCHOOLS</t>
  </si>
  <si>
    <t>MARTIN COUNTY SCHOOLS</t>
  </si>
  <si>
    <t>MCDOWELL COUNTY SCHOOLS</t>
  </si>
  <si>
    <t>CHARLOTTE-MECKLENBURG COUNTY SCHOOLS</t>
  </si>
  <si>
    <t>COMMUNITY SCHOOL OF DAVIDSON</t>
  </si>
  <si>
    <t>LAKE NORMAN CHARTER SCHOOL</t>
  </si>
  <si>
    <t>SOCRATES ACADEMY</t>
  </si>
  <si>
    <t>PINE LAKE PREP CHARTER</t>
  </si>
  <si>
    <t>CHARLOTTE SECONDARY CHARTER</t>
  </si>
  <si>
    <t>MITCHELL COUNTY SCHOOLS</t>
  </si>
  <si>
    <t>KIPP CHARLOTTE CHARTER</t>
  </si>
  <si>
    <t>MONTGOMERY COUNTY SCHOOLS</t>
  </si>
  <si>
    <t>MOORE COUNTY SCHOOLS</t>
  </si>
  <si>
    <t>ACADEMY OF MOORE COUNTY</t>
  </si>
  <si>
    <t>STARS CHARTER SCHOOL</t>
  </si>
  <si>
    <t>NASH-ROCKY MOUNT SCHOOLS</t>
  </si>
  <si>
    <t>NEW HANOVER COUNTY SCHOOLS</t>
  </si>
  <si>
    <t>NORTHAMPTON COUNTY SCHOOLS</t>
  </si>
  <si>
    <t>GASTON COLLEGE PREPARATORY CHARTER</t>
  </si>
  <si>
    <t>ONSLOW COUNTY SCHOOLS</t>
  </si>
  <si>
    <t>ZECA SCHOOL OF THE ARTS AND TECHNOLOGY</t>
  </si>
  <si>
    <t>ORANGE COUNTY SCHOOLS</t>
  </si>
  <si>
    <t>ORANGE CHARTER SCHOOL</t>
  </si>
  <si>
    <t>PAMLICO COUNTY SCHOOLS</t>
  </si>
  <si>
    <t>ARAPAHOE CHARTER SCHOOL</t>
  </si>
  <si>
    <t>ELIZABETH CITY AND PASQUOTANK COUNTY SCHOOLS</t>
  </si>
  <si>
    <t>PENDER COUNTY SCHOOLS</t>
  </si>
  <si>
    <t>PERQUIMANS COUNTY SCHOOLS</t>
  </si>
  <si>
    <t>PERSON COUNTY SCHOOLS</t>
  </si>
  <si>
    <t>ROXBORO COMMUNITY SCHOOL</t>
  </si>
  <si>
    <t>PITT COUNTY SCHOOLS</t>
  </si>
  <si>
    <t>POLK COUNTY SCHOOLS</t>
  </si>
  <si>
    <t>RANDOLPH COUNTY SCHOOLS</t>
  </si>
  <si>
    <t>UWHARRIE CHARTER ACADEMY</t>
  </si>
  <si>
    <t>ASHEBORO CITY SCHOOLS</t>
  </si>
  <si>
    <t>RICHMOND COUNTY SCHOOLS</t>
  </si>
  <si>
    <t>ROBESON COUNTY SCHOOLS</t>
  </si>
  <si>
    <t>SOUTHEASTERN ACADEMY CHARTER SCHOOL</t>
  </si>
  <si>
    <t>ROCKINGHAM COUNTY SCHOOLS</t>
  </si>
  <si>
    <t>BETHANY COMMUNITY MIDDLE SCHOOL</t>
  </si>
  <si>
    <t>ROWAN-SALISBURY SCHOOL SYSTEM</t>
  </si>
  <si>
    <t>RUTHERFORD COUNTY SCHOOLS</t>
  </si>
  <si>
    <t>SAMPSON COUNTY SCHOOLS</t>
  </si>
  <si>
    <t>CLINTON CITY SCHOOLS</t>
  </si>
  <si>
    <t>SCOTLAND COUNTY SCHOOLS</t>
  </si>
  <si>
    <t>STANLY COUNTY SCHOOLS</t>
  </si>
  <si>
    <t>GRAY STONE DAY SCHOOL</t>
  </si>
  <si>
    <t>STOKES COUNTY SCHOOLS</t>
  </si>
  <si>
    <t>SURRY COUNTY SCHOOLS</t>
  </si>
  <si>
    <t>BRIDGES CHARTER SCHOOLS</t>
  </si>
  <si>
    <t>MILLENNIUM CHARTER ACADEMY</t>
  </si>
  <si>
    <t>MOUNT AIRY CITY SCHOOLS</t>
  </si>
  <si>
    <t>ELKIN CITY SCHOOLS</t>
  </si>
  <si>
    <t>SWAIN COUNTY SCHOOLS</t>
  </si>
  <si>
    <t>TRANSYLVANIA COUNTY SCHOOLS</t>
  </si>
  <si>
    <t>BREVARD ACADEMY CHARTER SCHOOL</t>
  </si>
  <si>
    <t>TYRRELL COUNTY SCHOOLS</t>
  </si>
  <si>
    <t>UNION COUNTY SCHOOLS</t>
  </si>
  <si>
    <t>VANCE COUNTY SCHOOLS</t>
  </si>
  <si>
    <t>VANCE CHARTER SCHOOL</t>
  </si>
  <si>
    <t>ENDEAVOR CHARTER SCHOOL</t>
  </si>
  <si>
    <t>SOUTHERN WAKE ACADEMY</t>
  </si>
  <si>
    <t>CASA ESPERANZA MONTESSORI</t>
  </si>
  <si>
    <t>WARREN COUNTY SCHOOLS</t>
  </si>
  <si>
    <t>HALIWA-SAPONI TRIBAL CHARTER</t>
  </si>
  <si>
    <t>WASHINGTON COUNTY SCHOOLS</t>
  </si>
  <si>
    <t>HENDERSON COLLEGIATE CHARTER SCHOOL</t>
  </si>
  <si>
    <t>WATAUGA COUNTY SCHOOLS</t>
  </si>
  <si>
    <t>WAYNE COUNTY SCHOOLS</t>
  </si>
  <si>
    <t>WILKES COUNTY SCHOOLS</t>
  </si>
  <si>
    <t>PINNACLE CLASSICAL ACADEMY</t>
  </si>
  <si>
    <t>WILSON COUNTY SCHOOLS</t>
  </si>
  <si>
    <t>YADKIN COUNTY SCHOOLS</t>
  </si>
  <si>
    <t>CONSOLIDATED JUDICIAL RETIREMENT SYSTEM</t>
  </si>
  <si>
    <t>BLADEN COUNTY</t>
  </si>
  <si>
    <t>TOWN OF SUNSET BEACH</t>
  </si>
  <si>
    <t>TOWN OF BILTMORE FOREST</t>
  </si>
  <si>
    <t>TOWN OF BLACK MOUNTAIN</t>
  </si>
  <si>
    <t>RUTHERFORD COUNTY</t>
  </si>
  <si>
    <t>TOWN OF FOREST CITY</t>
  </si>
  <si>
    <t>TOWN OF LAKE LURE</t>
  </si>
  <si>
    <t>WASHINGTON COUNTY</t>
  </si>
  <si>
    <t>TOWN OF BLOWING ROCK</t>
  </si>
  <si>
    <t>TOWN OF BLACK CREEK</t>
  </si>
  <si>
    <t>INVEST COLLEGIATE CHARTER (DAVIDSON)</t>
  </si>
  <si>
    <t>NORTH CAROLINA INNOVATIVE SCHOOL DISTRICT</t>
  </si>
  <si>
    <t>UNC-SO ONLY</t>
  </si>
  <si>
    <t>OFFICE OF STATE AUDITOR</t>
  </si>
  <si>
    <t>OFFICE OF ADMINISTRATIVE HEARINGS</t>
  </si>
  <si>
    <t>OFFICE OF STATE BUDGET AND MANAGEMENT</t>
  </si>
  <si>
    <t>DEPARTMENT OF INFORMATION TECHNOLOGY</t>
  </si>
  <si>
    <t>NC SCHOOL OF SCIENCE AND MATHEMATICS</t>
  </si>
  <si>
    <t>NC DEPARTMENT OF MILITARY AND VETERANS AFFAIRS</t>
  </si>
  <si>
    <t>DEPARTMENT OF ENVIRONMENTAL QUALITY</t>
  </si>
  <si>
    <t>HOUSING FINANCE AGENCY OF NORTH CAROLINA</t>
  </si>
  <si>
    <t>OFFICE OF GOVERNOR</t>
  </si>
  <si>
    <t>OFFICE OF LIEUTENANT GOVERNOR</t>
  </si>
  <si>
    <t>DEPARTMENT OF HEALTH AND HUMAN SERVICES</t>
  </si>
  <si>
    <t>DEPARTMENT OF INSURANCE</t>
  </si>
  <si>
    <t>DEPARTMENT OF LABOR</t>
  </si>
  <si>
    <t>DEPARTMENT OF REVENUE</t>
  </si>
  <si>
    <t>DEPARTMENT OF SECRETARY OF STATE</t>
  </si>
  <si>
    <t>DEPARTMENT OF STATE TREASURER (State Health Plan Only)</t>
  </si>
  <si>
    <t>DEPARTMENT OF AGRICULTURE AND CONSUMER SERVICES</t>
  </si>
  <si>
    <t>STATE BOARD OF BARBER EXAMINERS</t>
  </si>
  <si>
    <t>NC AUCTIONEERS LICENSING BOARD</t>
  </si>
  <si>
    <t>NC STATE BOARD OF EXAMINERS OF PRACTICING PSYCHOLOGISTS</t>
  </si>
  <si>
    <t>COMMUNITY COLLEGE SYSTEM OFFICE</t>
  </si>
  <si>
    <t>NORTH CAROLINA SCHOOL OF THE ARTS</t>
  </si>
  <si>
    <t>NORTH CAROLINA A&amp;T UNIVERSITY</t>
  </si>
  <si>
    <t>NORTH CAROLINA CENTRAL UNIVERSITY</t>
  </si>
  <si>
    <t>UNIVERSITY OF NORTH CAROLINA AT PEMBROKE</t>
  </si>
  <si>
    <t>NC STATE UNIVERSITY</t>
  </si>
  <si>
    <t>FRANCINE DELANY NEW SCHOOL FOR CHILDREN</t>
  </si>
  <si>
    <t>WESTERN PIEDMONT COMMUNITY COLLEGE</t>
  </si>
  <si>
    <t>NORTHEAST REGIONAL SCHOOL FOR BIOTECHNOLOGY</t>
  </si>
  <si>
    <t>CENTRAL PARK SCHOOL FOR CHILDREN</t>
  </si>
  <si>
    <t>AMERICAN RENAISSANCE MIDDLE SCHOOL</t>
  </si>
  <si>
    <t>SANFORD-LEE COUNTY BOARD OF EDUCATION</t>
  </si>
  <si>
    <t>CAPE FEAR CENTER FOR INQUIRY</t>
  </si>
  <si>
    <t>N.E. ACADEMY OF AEROSPACE &amp; ADVANCED TECHNOLOGY</t>
  </si>
  <si>
    <t>MOUNTAIN DISCOVERY CHARTER</t>
  </si>
  <si>
    <t>TWO RIVERS COMMUNITY SCHOOL</t>
  </si>
  <si>
    <t>HIGHWAY - ADMINISTRATIVE (w/o Global Transpark or Ports Authority)</t>
  </si>
  <si>
    <t>HIGHWAY - ADMINISTRATIVE (Global Transpark Only)</t>
  </si>
  <si>
    <t>LEGISLATIVE RETIREMENT SYSTEM</t>
  </si>
  <si>
    <t>Reporting year 2026</t>
  </si>
  <si>
    <t>DISCOVERY CHARTER</t>
  </si>
  <si>
    <t>Noncapital contributions</t>
  </si>
  <si>
    <t>Noncapital contr allocaion (SHP trsf to RHBF)</t>
  </si>
  <si>
    <t>(g)</t>
  </si>
  <si>
    <t>Nonemployer contribution from SHP to RHBF</t>
  </si>
  <si>
    <t>Miscellaneous expense (1)</t>
  </si>
  <si>
    <t>Miscellaneous income (1)</t>
  </si>
  <si>
    <t>Noncapital contribution (2)</t>
  </si>
  <si>
    <r>
      <rPr>
        <b/>
        <sz val="10"/>
        <rFont val="Arial"/>
        <family val="2"/>
      </rPr>
      <t>(2)  Nonemployer Contribution</t>
    </r>
    <r>
      <rPr>
        <sz val="10"/>
        <rFont val="Arial"/>
        <family val="2"/>
      </rPr>
      <t xml:space="preserve"> - In FY2021, the SHP transferred $187 million to the RHBF as a result of cost savings to the SHP.  Per GASB 92, paragraph 6.a. the transfer of capital or financial assets between a nonemployer contribution entity and a defined benefit OPEB plan within the same financial reporting entity , any diference between the amount paid and carrying value of the assets transferred should be reported as a nonemployer contributing entity contribution to the plan in accordance with requirements of GASB 75.  Per GASB 75, paragraph 69, revenue should be recognized in an amount equal to (a) the change in the collective liability arising from contributions to the plan from nonemployer contributing entites and (b) the employer's proportionate share of the change in the collective liability arising from contributions to the plan.   The SHP has authority to move funds pursuant to G.S. 135-48.5.  </t>
    </r>
  </si>
  <si>
    <t>OFFICE OF STATE CONTROLLER</t>
  </si>
  <si>
    <t>UNC-CHAPEL HILL CB1260</t>
  </si>
  <si>
    <t>Reporting year 2027</t>
  </si>
  <si>
    <t>rounding</t>
  </si>
  <si>
    <t xml:space="preserve">In FY2021, the SHP transferred $187 million to the RHBF as a result of cost savings to the SHP over a span of six years.  Per GASB 92, paragraph 6.a. the transfer of capital or financial assets between a nonemployer contribution entity and a defined benefit OPEB plan within the same financial reporting entity , any diference between the amount paid and carrying value of the assets transferred should be reported as a nonemployer contributing entity contribution to the plan in accordance with requirements of GASB 75.  Per GASB 75, paragraph 69, revenue should be recognized in an amount equal to (a) the change in the collective liability arising from contributions to the plan from nonemployer contributing entites and (b) the employer's proportionate share of the change in the collective liability arising from contributions to the plan.   The SHP has authority to move funds pursuant to G.S. 135-48.5.  </t>
  </si>
  <si>
    <t>Reporting year 2028</t>
  </si>
  <si>
    <t>CLEVELAND COMMUNITY COLLEGE</t>
  </si>
  <si>
    <t>NEW BERN CRAVEN COUNTY BOARD OF EDUCATION</t>
  </si>
  <si>
    <t>IREDELL-STATESVILLE SCHOOLS</t>
  </si>
  <si>
    <t>CORVIAN COMMUNITY CHARTER SCHOOL</t>
  </si>
  <si>
    <t>NASH COMMUNITY COLLEGE</t>
  </si>
  <si>
    <t>CHAPEL HILL - CARRBORO CITY SCHOOLS</t>
  </si>
  <si>
    <t>WAKE COUNTY PUBLIC SCHOOLS SYSTEM</t>
  </si>
  <si>
    <t>EAST WAKE FIRST ACADEMY</t>
  </si>
  <si>
    <t>FOOTHILLS HEALTH DISTRICT</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</si>
  <si>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</si>
  <si>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</si>
  <si>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</si>
  <si>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</si>
  <si>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</si>
  <si>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</si>
  <si>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</si>
  <si>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</si>
  <si>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</si>
  <si>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</si>
  <si>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</si>
  <si>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North Carolina Department of Military &amp; Veteran Affairs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</si>
  <si>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</si>
  <si>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</si>
  <si>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</si>
  <si>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</si>
  <si>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</si>
  <si>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</si>
  <si>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</si>
  <si>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</si>
  <si>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</si>
  <si>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</si>
  <si>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</si>
  <si>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</si>
  <si>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</si>
  <si>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</si>
  <si>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</si>
  <si>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</si>
  <si>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</si>
  <si>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North Carolina Board of Opticians</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</si>
  <si>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</si>
  <si>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</si>
  <si>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</si>
  <si>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</si>
  <si>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</si>
  <si>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</si>
  <si>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</si>
  <si>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</si>
  <si>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</si>
  <si>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</si>
  <si>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</si>
  <si>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</si>
  <si>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</si>
  <si>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</si>
  <si>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</si>
  <si>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</si>
  <si>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State Education Assistance Authority (subset of UNC Gen. Adm.)</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</si>
  <si>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</si>
  <si>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</si>
  <si>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</si>
  <si>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</si>
  <si>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</si>
  <si>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</si>
  <si>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</si>
  <si>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</si>
  <si>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</si>
  <si>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</si>
  <si>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</si>
  <si>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</si>
  <si>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</si>
  <si>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</si>
  <si>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</si>
  <si>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</si>
  <si>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</si>
  <si>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</si>
  <si>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</si>
  <si>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</si>
  <si>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</si>
  <si>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</si>
  <si>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</si>
  <si>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</si>
  <si>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</si>
  <si>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</si>
  <si>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</si>
  <si>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</si>
  <si>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</si>
  <si>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</si>
  <si>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</si>
  <si>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</si>
  <si>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</si>
  <si>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</si>
  <si>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</si>
  <si>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</si>
  <si>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</si>
  <si>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</si>
  <si>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</si>
  <si>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</si>
  <si>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</si>
  <si>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</si>
  <si>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</si>
  <si>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</si>
  <si>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</si>
  <si>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</si>
  <si>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</si>
  <si>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</si>
  <si>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</si>
  <si>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</si>
  <si>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</si>
  <si>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</si>
  <si>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</si>
  <si>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</si>
  <si>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</si>
  <si>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</si>
  <si>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</si>
  <si>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</si>
  <si>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</si>
  <si>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</si>
  <si>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</si>
  <si>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</si>
  <si>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</si>
  <si>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</si>
  <si>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</si>
  <si>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</si>
  <si>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Discovery Charter</t>
  </si>
  <si>
    <t>Davidson County Community College</t>
  </si>
  <si>
    <t>Lexington City Schools</t>
  </si>
  <si>
    <t>Alamance Community School</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</si>
  <si>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</si>
  <si>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</si>
  <si>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</si>
  <si>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</si>
  <si>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</si>
  <si>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</si>
  <si>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</si>
  <si>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</si>
  <si>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</si>
  <si>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</si>
  <si>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</si>
  <si>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</si>
  <si>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</si>
  <si>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</si>
  <si>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</si>
  <si>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</si>
  <si>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</si>
  <si>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</si>
  <si>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</si>
  <si>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</si>
  <si>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</si>
  <si>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</si>
  <si>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</si>
  <si>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</si>
  <si>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</si>
  <si>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</si>
  <si>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</si>
  <si>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</si>
  <si>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</si>
  <si>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</si>
  <si>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</si>
  <si>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</si>
  <si>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</si>
  <si>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</si>
  <si>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</si>
  <si>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</si>
  <si>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</si>
  <si>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</si>
  <si>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</si>
  <si>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</si>
  <si>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</si>
  <si>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</si>
  <si>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</si>
  <si>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</si>
  <si>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</si>
  <si>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</si>
  <si>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</si>
  <si>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</si>
  <si>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</si>
  <si>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</si>
  <si>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</si>
  <si>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</si>
  <si>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</si>
  <si>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</si>
  <si>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</si>
  <si>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</si>
  <si>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</si>
  <si>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</si>
  <si>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</si>
  <si>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</si>
  <si>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</si>
  <si>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</si>
  <si>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</si>
  <si>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</si>
  <si>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</si>
  <si>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</si>
  <si>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</si>
  <si>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</si>
  <si>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</si>
  <si>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</si>
  <si>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</si>
  <si>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</si>
  <si>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</si>
  <si>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</si>
  <si>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</si>
  <si>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</si>
  <si>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</si>
  <si>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</si>
  <si>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</si>
  <si>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</si>
  <si>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</si>
  <si>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</si>
  <si>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</si>
  <si>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</si>
  <si>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</si>
  <si>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North Carolina Leadership Academy</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</si>
  <si>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</si>
  <si>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</si>
  <si>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</si>
  <si>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</si>
  <si>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</si>
  <si>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</si>
  <si>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</si>
  <si>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</si>
  <si>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</si>
  <si>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</si>
  <si>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</si>
  <si>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</si>
  <si>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</si>
  <si>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</si>
  <si>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</si>
  <si>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</si>
  <si>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</si>
  <si>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</si>
  <si>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</si>
  <si>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</si>
  <si>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Northeast Academy for Aerospace and Advanced Technologies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</si>
  <si>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</si>
  <si>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</si>
  <si>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</si>
  <si>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</si>
  <si>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</si>
  <si>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</si>
  <si>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</si>
  <si>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</si>
  <si>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</si>
  <si>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</si>
  <si>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</si>
  <si>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</si>
  <si>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</si>
  <si>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</si>
  <si>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</si>
  <si>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</si>
  <si>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</si>
  <si>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</si>
  <si>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</si>
  <si>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</si>
  <si>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</si>
  <si>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</si>
  <si>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</si>
  <si>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</si>
  <si>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</si>
  <si>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</si>
  <si>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</si>
  <si>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</si>
  <si>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</si>
  <si>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</si>
  <si>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</si>
  <si>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</si>
  <si>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</si>
  <si>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</si>
  <si>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</si>
  <si>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</si>
  <si>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</si>
  <si>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</si>
  <si>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</si>
  <si>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</si>
  <si>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</si>
  <si>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</si>
  <si>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</si>
  <si>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</si>
  <si>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</si>
  <si>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</si>
  <si>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</si>
  <si>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</si>
  <si>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</si>
  <si>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</si>
  <si>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</si>
  <si>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</si>
  <si>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</si>
  <si>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</si>
  <si>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North Carolina Innovative School District</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</si>
  <si>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</si>
  <si>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</si>
  <si>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</si>
  <si>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</si>
  <si>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</si>
  <si>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</si>
  <si>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</si>
  <si>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</si>
  <si>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</si>
  <si>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</si>
  <si>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</si>
  <si>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</si>
  <si>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</si>
  <si>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</si>
  <si>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</si>
  <si>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</si>
  <si>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</si>
  <si>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</si>
  <si>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</si>
  <si>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</si>
  <si>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</si>
  <si>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</si>
  <si>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</si>
  <si>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</si>
  <si>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</si>
  <si>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</si>
  <si>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</si>
  <si>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</si>
  <si>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</si>
  <si>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</si>
  <si>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DEPARTMENT OF STATE TREASURER (W/O STATE HEALTH PLAN)</t>
  </si>
  <si>
    <t>ALAMANCE COMMUNITY SCHOOLS</t>
  </si>
  <si>
    <t>HIGHWAY - ADMINISTRATIVE (Ports Authority Only)</t>
  </si>
  <si>
    <t>A</t>
  </si>
  <si>
    <t>B</t>
  </si>
  <si>
    <t>OPEB (Including Retiree Health Benefit Fund )– Financial Audit of Schedules</t>
  </si>
  <si>
    <t>FY2024 employer contributions – per agency/institution</t>
  </si>
  <si>
    <t>6/30/2023 Deferred Outflows of Resources</t>
  </si>
  <si>
    <t>6/30/2023 Deferred Inflows of Resources</t>
  </si>
  <si>
    <t>6/30/2023 Net OPEB Liability</t>
  </si>
  <si>
    <t>Reporting year 2029</t>
  </si>
  <si>
    <t>DEPARTMENT OF ADULT CORRECTION</t>
  </si>
  <si>
    <t>UNC-GENERAL ADMINISTRATION (w/o SEAA)</t>
  </si>
  <si>
    <t>UNC-GENERAL ADMINISTRATION (SEAA Only)</t>
  </si>
  <si>
    <t>Department of Adult Corrections</t>
  </si>
  <si>
    <t>CHK NUMBER</t>
  </si>
  <si>
    <t>chk figure</t>
  </si>
  <si>
    <t>difference</t>
  </si>
  <si>
    <t>NCFS</t>
  </si>
  <si>
    <t>Deferred inflows RHBF</t>
  </si>
  <si>
    <t>Total deferred inflows</t>
  </si>
  <si>
    <t>Fiscal Year Ended June 30, 2025</t>
  </si>
  <si>
    <t>GoTo "Detail" Tab — Enter Employer Contributions (FY2024 &amp; FY2025).</t>
  </si>
  <si>
    <t>https://files.nc.gov/nc-auditor/documents/2025-04/FIN-2024-3400-OPEB.pdf</t>
  </si>
  <si>
    <t xml:space="preserve">any questions about this template, please contact Virginia Sisson </t>
  </si>
  <si>
    <t>virginia.sisson@ncosc.gov</t>
  </si>
  <si>
    <t>FY2024 employer contributions – per actuary</t>
  </si>
  <si>
    <t>Last Year's MANUAL ENTRY - FY2024 Employer Contributions</t>
  </si>
  <si>
    <t>Difference in FY2024 contributions per employer/actuary</t>
  </si>
  <si>
    <t>(To adjust for difference in FY2024 contributions per employer/actuary)</t>
  </si>
  <si>
    <t>Deferred outflows for OPEB (FY2025 Employer Contributions)</t>
  </si>
  <si>
    <t>FY2025 employer contributions – per agency/institution</t>
  </si>
  <si>
    <t>by 6.99% (the 2024-25 employer contribution rate for RHBF)</t>
  </si>
  <si>
    <t>Balance July 1, 2024</t>
  </si>
  <si>
    <t>Balance, June 30, 2025</t>
  </si>
  <si>
    <t>2024 Allocation Percentage</t>
  </si>
  <si>
    <t>6/30/2024 Net OPEB Liability</t>
  </si>
  <si>
    <t>6/30/2024 Deferred Outflows of Resources</t>
  </si>
  <si>
    <t>6/30/2024 Deferred Inflows of Resources</t>
  </si>
  <si>
    <t>GRANVILLE COUNTY SCHOOLS</t>
  </si>
  <si>
    <t>WILMINGTON PREPARATORY ACADEMY</t>
  </si>
  <si>
    <t>STATE BUREAU OF INVESTIGATION</t>
  </si>
  <si>
    <t>ASPIRE TRADE HIGH SCHOOL</t>
  </si>
  <si>
    <t>dst</t>
  </si>
  <si>
    <t>shp</t>
  </si>
  <si>
    <t>total</t>
  </si>
  <si>
    <t>highway</t>
  </si>
  <si>
    <t>global</t>
  </si>
  <si>
    <t>ports</t>
  </si>
  <si>
    <t>uncso</t>
  </si>
  <si>
    <t>seaa</t>
  </si>
  <si>
    <t>Reporting year 2030</t>
  </si>
  <si>
    <t>State Bureau of Investigation</t>
  </si>
  <si>
    <t>Aspire Trade High School</t>
  </si>
  <si>
    <t>Allocation percentages and contribution amounts for FY2024</t>
  </si>
  <si>
    <t>June 30, 2026:</t>
  </si>
  <si>
    <r>
      <t>Net OPEB</t>
    </r>
    <r>
      <rPr>
        <sz val="10"/>
        <color rgb="FFFF0000"/>
        <rFont val="Arial"/>
        <family val="2"/>
      </rPr>
      <t xml:space="preserve"> Liability</t>
    </r>
    <r>
      <rPr>
        <sz val="10"/>
        <rFont val="Arial"/>
        <family val="2"/>
      </rPr>
      <t>-RHBF</t>
    </r>
  </si>
  <si>
    <r>
      <rPr>
        <b/>
        <sz val="10"/>
        <rFont val="Arial"/>
        <family val="2"/>
      </rPr>
      <t>(1)  Difference in Contributions Between Employer/Actuary</t>
    </r>
    <r>
      <rPr>
        <sz val="10"/>
        <rFont val="Arial"/>
        <family val="2"/>
      </rPr>
      <t xml:space="preserve"> – The difference between what your entity reported last year as your FY 2024 employer contributions (i.e., as a deferred outflow for OPEB) and the amount reported by the actuary (per this template) should be evaluated for materiality (see "Detail" tab, Entry 1). If this difference is material, the 13th period entry above should be modified. The template assumes the difference is immaterial and adjusts the beginning deferred outflow balance to the actuarial amount with an offset to current year miscellaneous expense (income). However, if the difference is material, the entry should be modified to reflect the offset as a restatement of beginning net position.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</si>
</sst>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0.00\);\—\—\—\ \ \ \ "/>
    <numFmt numFmtId="165" formatCode="\(0\)"/>
    <numFmt numFmtId="166" formatCode="#,##0_);\(#,##0\);\—\—\—\ \ \ \ "/>
    <numFmt numFmtId="167" formatCode="#,##0_);\(#,##0\);\—\ \ \ \ "/>
    <numFmt numFmtId="168" formatCode="_(&quot;$&quot;* #,##0_);_(&quot;$&quot;* \(#,##0\);_(&quot;$&quot;* &quot;—&quot;_);_(@_)"/>
    <numFmt numFmtId="169" formatCode="_(* #,##0_);_(* \(#,##0\);_(* &quot;—&quot;_);_(@_)"/>
    <numFmt numFmtId="170" formatCode="0.00000%"/>
    <numFmt numFmtId="171" formatCode="_(* #,##0_);_(* \(#,##0\);_(* &quot;-&quot;??_);_(@_)"/>
    <numFmt numFmtId="172" formatCode="00000"/>
    <numFmt numFmtId="173" formatCode="0.0"/>
    <numFmt numFmtId="174" formatCode="#,##0.0000_);\(#,##0.0000\)"/>
    <numFmt numFmtId="175" formatCode="_(* #,##0.0_);_(* \(#,##0.0\);_(* &quot;-&quot;??_);_(@_)"/>
    <numFmt numFmtId="176" formatCode="_(&quot;$&quot;* #,##0_);_(&quot;$&quot;* \(#,##0\);_(&quot;$&quot;* &quot;-&quot;??_);_(@_)"/>
    <numFmt numFmtId="177" formatCode="0.000000%"/>
  </numFmts>
  <fonts count="49" x14ac:knownFonts="1">
    <font>
      <sz val="10"/>
      <name val="Arial"/>
    </font>
    <font>
      <sz val="11"/>
      <color theme="1"/>
      <name val="Calibri"/>
      <family val="2"/>
      <scheme val="minor"/>
    </font>
    <font>
      <b/>
      <u/>
      <sz val="9"/>
      <name val="Arial"/>
      <family val="2"/>
    </font>
    <font>
      <b/>
      <u/>
      <sz val="9"/>
      <name val="Arial Narrow"/>
      <family val="2"/>
    </font>
    <font>
      <sz val="9"/>
      <name val="Arial Narrow"/>
      <family val="2"/>
    </font>
    <font>
      <b/>
      <i/>
      <sz val="9"/>
      <name val="Arial Narrow"/>
      <family val="2"/>
    </font>
    <font>
      <b/>
      <sz val="9"/>
      <name val="Arial Narrow"/>
      <family val="2"/>
    </font>
    <font>
      <b/>
      <i/>
      <u/>
      <sz val="9"/>
      <name val="Arial Narrow"/>
      <family val="2"/>
    </font>
    <font>
      <sz val="9"/>
      <name val="@Batang"/>
      <family val="1"/>
    </font>
    <font>
      <sz val="8"/>
      <name val="Arial"/>
      <family val="2"/>
    </font>
    <font>
      <sz val="12"/>
      <name val="Times New Roman"/>
      <family val="1"/>
    </font>
    <font>
      <sz val="8.25"/>
      <name val="Helv"/>
    </font>
    <font>
      <b/>
      <sz val="10"/>
      <name val="Arial"/>
      <family val="2"/>
    </font>
    <font>
      <sz val="8"/>
      <name val="Arial Narrow"/>
      <family val="2"/>
    </font>
    <font>
      <sz val="10"/>
      <name val="Arial"/>
      <family val="2"/>
    </font>
    <font>
      <u/>
      <sz val="9"/>
      <name val="Arial Narrow"/>
      <family val="2"/>
    </font>
    <font>
      <b/>
      <i/>
      <sz val="9"/>
      <color theme="1"/>
      <name val="Arial Narrow"/>
      <family val="2"/>
    </font>
    <font>
      <sz val="9"/>
      <name val="Arial"/>
      <family val="2"/>
    </font>
    <font>
      <b/>
      <u/>
      <sz val="10"/>
      <name val="Arial"/>
      <family val="2"/>
    </font>
    <font>
      <u/>
      <sz val="10"/>
      <name val="Arial"/>
      <family val="2"/>
    </font>
    <font>
      <i/>
      <sz val="10"/>
      <name val="Arial"/>
      <family val="2"/>
    </font>
    <font>
      <sz val="10"/>
      <color rgb="FF0000FF"/>
      <name val="Arial"/>
      <family val="2"/>
    </font>
    <font>
      <sz val="10"/>
      <name val="Arial"/>
      <family val="2"/>
    </font>
    <font>
      <b/>
      <sz val="11"/>
      <color theme="1"/>
      <name val="Calibri"/>
      <family val="2"/>
      <scheme val="minor"/>
    </font>
    <font>
      <b/>
      <sz val="10"/>
      <color rgb="FF000000"/>
      <name val="Arial"/>
      <family val="2"/>
    </font>
    <font>
      <b/>
      <sz val="11"/>
      <color rgb="FF000000"/>
      <name val="Calibri"/>
      <family val="2"/>
      <scheme val="minor"/>
    </font>
    <font>
      <sz val="11"/>
      <color rgb="FF000000"/>
      <name val="Calibri"/>
      <family val="2"/>
      <scheme val="minor"/>
    </font>
    <font>
      <b/>
      <u/>
      <sz val="9"/>
      <color rgb="FFFF0000"/>
      <name val="Arial Narrow"/>
      <family val="2"/>
    </font>
    <font>
      <i/>
      <u/>
      <sz val="10"/>
      <name val="Arial"/>
      <family val="2"/>
    </font>
    <font>
      <sz val="10"/>
      <color indexed="10"/>
      <name val="Arial"/>
      <family val="2"/>
    </font>
    <font>
      <b/>
      <sz val="10"/>
      <color indexed="10"/>
      <name val="Arial"/>
      <family val="2"/>
    </font>
    <font>
      <b/>
      <sz val="14"/>
      <color rgb="FFFF0000"/>
      <name val="Arial"/>
      <family val="2"/>
    </font>
    <font>
      <b/>
      <sz val="12.5"/>
      <color rgb="FFFF0000"/>
      <name val="Arial"/>
      <family val="2"/>
    </font>
    <font>
      <u/>
      <sz val="10"/>
      <color theme="10"/>
      <name val="Arial"/>
      <family val="2"/>
    </font>
    <font>
      <i/>
      <sz val="9"/>
      <name val="Arial Narrow"/>
      <family val="2"/>
    </font>
    <font>
      <sz val="10"/>
      <color rgb="FFFF0000"/>
      <name val="Arial"/>
      <family val="2"/>
    </font>
    <font>
      <b/>
      <i/>
      <sz val="10"/>
      <name val="Arial"/>
      <family val="2"/>
    </font>
    <font>
      <b/>
      <sz val="9"/>
      <color rgb="FFFF0000"/>
      <name val="Arial Narrow"/>
      <family val="2"/>
    </font>
    <font>
      <b/>
      <sz val="10"/>
      <color rgb="FFFF0000"/>
      <name val="Arial"/>
      <family val="2"/>
    </font>
    <font>
      <sz val="9"/>
      <color indexed="10"/>
      <name val="Arial Narrow"/>
      <family val="2"/>
    </font>
    <font>
      <b/>
      <sz val="10"/>
      <color indexed="10"/>
      <name val="Arial Narrow"/>
      <family val="2"/>
    </font>
    <font>
      <b/>
      <sz val="11"/>
      <name val="Times New Roman"/>
      <family val="1"/>
    </font>
    <font>
      <sz val="12"/>
      <color theme="1"/>
      <name val="Times New Roman"/>
      <family val="1"/>
    </font>
    <font>
      <sz val="11"/>
      <name val="Calibri"/>
      <family val="2"/>
      <scheme val="minor"/>
    </font>
    <font>
      <sz val="10"/>
      <color theme="1"/>
      <name val="Arial"/>
      <family val="2"/>
    </font>
    <font>
      <sz val="11"/>
      <name val="Arial"/>
      <family val="2"/>
    </font>
    <font>
      <sz val="11"/>
      <color theme="1"/>
      <name val="Arial"/>
      <family val="2"/>
    </font>
    <font>
      <sz val="10"/>
      <name val="Arial"/>
      <family val="2"/>
    </font>
    <font>
      <sz val="11"/>
      <color theme="1"/>
      <name val="Calibri"/>
      <family val="2"/>
    </font>
  </fonts>
  <fills count="1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7FFD8"/>
        <bgColor indexed="64"/>
      </patternFill>
    </fill>
    <fill>
      <patternFill patternType="solid">
        <fgColor indexed="4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theme="5"/>
        <bgColor indexed="64"/>
      </patternFill>
    </fill>
    <fill>
      <patternFill patternType="solid">
        <fgColor theme="6"/>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s>
  <borders count="2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medium">
        <color auto="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ck">
        <color indexed="64"/>
      </right>
      <top/>
      <bottom/>
      <diagonal/>
    </border>
    <border>
      <left/>
      <right style="thick">
        <color indexed="64"/>
      </right>
      <top/>
      <bottom style="medium">
        <color indexed="64"/>
      </bottom>
      <diagonal/>
    </border>
    <border>
      <left/>
      <right style="medium">
        <color indexed="64"/>
      </right>
      <top/>
      <bottom style="medium">
        <color indexed="64"/>
      </bottom>
      <diagonal/>
    </border>
  </borders>
  <cellStyleXfs count="17">
    <xf numFmtId="0" fontId="0" fillId="0" borderId="0"/>
    <xf numFmtId="0" fontId="11" fillId="0" borderId="0"/>
    <xf numFmtId="43" fontId="22" fillId="0" borderId="0" applyFont="0" applyFill="0" applyBorder="0" applyAlignment="0" applyProtection="0"/>
    <xf numFmtId="9" fontId="22"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39" fontId="14" fillId="0" borderId="0"/>
    <xf numFmtId="9" fontId="1" fillId="0" borderId="0" applyFont="0" applyFill="0" applyBorder="0" applyAlignment="0" applyProtection="0"/>
    <xf numFmtId="0" fontId="1" fillId="0" borderId="0"/>
    <xf numFmtId="0" fontId="10" fillId="0" borderId="0" applyFill="0" applyBorder="0" applyAlignment="0" applyProtection="0">
      <alignment horizontal="left"/>
    </xf>
    <xf numFmtId="0" fontId="41" fillId="9" borderId="16" applyNumberFormat="0" applyBorder="0">
      <alignment horizontal="center"/>
    </xf>
    <xf numFmtId="39" fontId="14" fillId="0" borderId="0"/>
    <xf numFmtId="43" fontId="44" fillId="0" borderId="0" applyFont="0" applyFill="0" applyBorder="0" applyAlignment="0" applyProtection="0"/>
    <xf numFmtId="0" fontId="10" fillId="0" borderId="0" applyFill="0" applyBorder="0" applyAlignment="0" applyProtection="0">
      <alignment horizontal="left"/>
    </xf>
    <xf numFmtId="43" fontId="44" fillId="0" borderId="0" applyFont="0" applyFill="0" applyBorder="0" applyAlignment="0" applyProtection="0"/>
    <xf numFmtId="9" fontId="44" fillId="0" borderId="0" applyFont="0" applyFill="0" applyBorder="0" applyAlignment="0" applyProtection="0"/>
    <xf numFmtId="44" fontId="47" fillId="0" borderId="0" applyFont="0" applyFill="0" applyBorder="0" applyAlignment="0" applyProtection="0"/>
  </cellStyleXfs>
  <cellXfs count="307">
    <xf numFmtId="0" fontId="0" fillId="0" borderId="0" xfId="0"/>
    <xf numFmtId="0" fontId="12" fillId="0" borderId="0" xfId="0" applyFont="1"/>
    <xf numFmtId="0" fontId="14" fillId="0" borderId="0" xfId="0" applyFont="1"/>
    <xf numFmtId="166" fontId="12" fillId="0" borderId="0" xfId="0" applyNumberFormat="1" applyFont="1" applyAlignment="1">
      <alignment horizontal="center"/>
    </xf>
    <xf numFmtId="0" fontId="14" fillId="0" borderId="0" xfId="0" applyFont="1" applyAlignment="1">
      <alignment horizontal="center"/>
    </xf>
    <xf numFmtId="0" fontId="0" fillId="0" borderId="0" xfId="0" applyAlignment="1">
      <alignment horizontal="center"/>
    </xf>
    <xf numFmtId="37" fontId="0" fillId="0" borderId="0" xfId="0" applyNumberFormat="1"/>
    <xf numFmtId="170" fontId="0" fillId="0" borderId="0" xfId="0" applyNumberFormat="1"/>
    <xf numFmtId="0" fontId="0" fillId="0" borderId="1" xfId="0" applyBorder="1" applyAlignment="1">
      <alignment horizontal="center"/>
    </xf>
    <xf numFmtId="3" fontId="0" fillId="0" borderId="0" xfId="0" applyNumberFormat="1"/>
    <xf numFmtId="0" fontId="14" fillId="0" borderId="3" xfId="0" applyFont="1" applyBorder="1" applyAlignment="1">
      <alignment horizontal="center" wrapText="1"/>
    </xf>
    <xf numFmtId="0" fontId="0" fillId="0" borderId="3" xfId="0" applyBorder="1" applyAlignment="1">
      <alignment horizontal="center" wrapText="1"/>
    </xf>
    <xf numFmtId="0" fontId="14" fillId="0" borderId="3" xfId="0" quotePrefix="1" applyFont="1" applyBorder="1" applyAlignment="1">
      <alignment horizontal="center" wrapText="1"/>
    </xf>
    <xf numFmtId="0" fontId="0" fillId="0" borderId="3" xfId="0" applyBorder="1" applyAlignment="1">
      <alignment horizontal="center"/>
    </xf>
    <xf numFmtId="0" fontId="14" fillId="0" borderId="3" xfId="0" applyFont="1" applyBorder="1" applyAlignment="1">
      <alignment horizontal="center"/>
    </xf>
    <xf numFmtId="168" fontId="0" fillId="0" borderId="0" xfId="0" applyNumberFormat="1"/>
    <xf numFmtId="169" fontId="0" fillId="0" borderId="0" xfId="0" applyNumberFormat="1"/>
    <xf numFmtId="0" fontId="5" fillId="3" borderId="0" xfId="0" applyFont="1" applyFill="1" applyAlignment="1">
      <alignment horizontal="center"/>
    </xf>
    <xf numFmtId="0" fontId="0" fillId="4" borderId="0" xfId="0" applyFill="1"/>
    <xf numFmtId="0" fontId="3" fillId="4" borderId="0" xfId="0" applyFont="1" applyFill="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6" fillId="4" borderId="0" xfId="0" applyFont="1" applyFill="1" applyAlignment="1">
      <alignment horizontal="center"/>
    </xf>
    <xf numFmtId="0" fontId="10" fillId="4" borderId="0" xfId="1" applyFont="1" applyFill="1" applyAlignment="1">
      <alignment horizontal="left"/>
    </xf>
    <xf numFmtId="0" fontId="10" fillId="4" borderId="0" xfId="1" applyFont="1" applyFill="1"/>
    <xf numFmtId="0" fontId="0" fillId="4" borderId="0" xfId="0" applyFill="1" applyAlignment="1">
      <alignment wrapText="1"/>
    </xf>
    <xf numFmtId="0" fontId="10" fillId="4" borderId="0" xfId="1" applyFont="1" applyFill="1" applyAlignment="1">
      <alignment horizontal="left" wrapText="1"/>
    </xf>
    <xf numFmtId="0" fontId="10" fillId="4" borderId="0" xfId="1" applyFont="1" applyFill="1" applyAlignment="1">
      <alignment wrapText="1"/>
    </xf>
    <xf numFmtId="0" fontId="7" fillId="4" borderId="0" xfId="0" applyFont="1" applyFill="1" applyAlignment="1">
      <alignment horizontal="center"/>
    </xf>
    <xf numFmtId="0" fontId="0" fillId="2" borderId="0" xfId="0" applyFill="1"/>
    <xf numFmtId="0" fontId="3" fillId="2" borderId="0" xfId="0" applyFont="1" applyFill="1" applyAlignment="1">
      <alignment horizontal="center"/>
    </xf>
    <xf numFmtId="164" fontId="3" fillId="2" borderId="0" xfId="0" applyNumberFormat="1" applyFont="1" applyFill="1" applyAlignment="1">
      <alignment horizontal="center"/>
    </xf>
    <xf numFmtId="0" fontId="2" fillId="2" borderId="0" xfId="0" applyFont="1" applyFill="1" applyAlignment="1">
      <alignment horizontal="center"/>
    </xf>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xf>
    <xf numFmtId="0" fontId="16" fillId="2" borderId="0" xfId="0" applyFont="1" applyFill="1" applyAlignment="1">
      <alignment horizontal="center"/>
    </xf>
    <xf numFmtId="165" fontId="17" fillId="2" borderId="0" xfId="0" applyNumberFormat="1" applyFont="1" applyFill="1" applyAlignment="1">
      <alignment horizontal="center"/>
    </xf>
    <xf numFmtId="167" fontId="4" fillId="2" borderId="0" xfId="0" applyNumberFormat="1" applyFont="1" applyFill="1"/>
    <xf numFmtId="0" fontId="4" fillId="2" borderId="0" xfId="0" applyFont="1" applyFill="1" applyAlignment="1">
      <alignment horizontal="left" indent="2"/>
    </xf>
    <xf numFmtId="0" fontId="6" fillId="2" borderId="0" xfId="0" applyFont="1" applyFill="1"/>
    <xf numFmtId="167" fontId="6" fillId="2" borderId="0" xfId="0" applyNumberFormat="1" applyFont="1" applyFill="1" applyAlignment="1">
      <alignment horizontal="center"/>
    </xf>
    <xf numFmtId="0" fontId="14" fillId="2" borderId="0" xfId="0" applyFont="1" applyFill="1"/>
    <xf numFmtId="0" fontId="15" fillId="2" borderId="0" xfId="0" applyFont="1" applyFill="1" applyAlignment="1">
      <alignment horizontal="center"/>
    </xf>
    <xf numFmtId="167" fontId="4" fillId="2" borderId="0" xfId="0" applyNumberFormat="1" applyFont="1" applyFill="1" applyProtection="1">
      <protection locked="0"/>
    </xf>
    <xf numFmtId="167" fontId="4" fillId="2" borderId="1" xfId="0" applyNumberFormat="1" applyFont="1" applyFill="1" applyBorder="1"/>
    <xf numFmtId="168" fontId="14" fillId="2" borderId="0" xfId="0" applyNumberFormat="1" applyFont="1" applyFill="1"/>
    <xf numFmtId="169" fontId="14" fillId="2" borderId="0" xfId="0" applyNumberFormat="1" applyFont="1" applyFill="1"/>
    <xf numFmtId="170" fontId="24" fillId="0" borderId="0" xfId="3" applyNumberFormat="1" applyFont="1" applyFill="1" applyBorder="1" applyAlignment="1">
      <alignment horizontal="center" wrapText="1"/>
    </xf>
    <xf numFmtId="0" fontId="25" fillId="0" borderId="0" xfId="0" applyFont="1" applyAlignment="1">
      <alignment horizontal="center" wrapText="1"/>
    </xf>
    <xf numFmtId="169" fontId="14" fillId="4" borderId="0" xfId="0" applyNumberFormat="1" applyFont="1" applyFill="1"/>
    <xf numFmtId="0" fontId="27" fillId="2" borderId="0" xfId="0" applyFont="1" applyFill="1" applyAlignment="1">
      <alignment horizontal="center"/>
    </xf>
    <xf numFmtId="42" fontId="0" fillId="4" borderId="0" xfId="0" applyNumberFormat="1" applyFill="1"/>
    <xf numFmtId="0" fontId="12" fillId="4" borderId="0" xfId="0" applyFont="1" applyFill="1"/>
    <xf numFmtId="0" fontId="12" fillId="4" borderId="0" xfId="0" quotePrefix="1" applyFont="1" applyFill="1"/>
    <xf numFmtId="0" fontId="31" fillId="4" borderId="0" xfId="0" applyFont="1" applyFill="1"/>
    <xf numFmtId="0" fontId="31" fillId="4" borderId="0" xfId="0" applyFont="1" applyFill="1" applyAlignment="1">
      <alignment horizontal="center"/>
    </xf>
    <xf numFmtId="0" fontId="12" fillId="4" borderId="0" xfId="0" applyFont="1" applyFill="1" applyAlignment="1">
      <alignment horizontal="left"/>
    </xf>
    <xf numFmtId="0" fontId="30" fillId="4" borderId="0" xfId="0" applyFont="1" applyFill="1" applyAlignment="1">
      <alignment horizontal="left" indent="3"/>
    </xf>
    <xf numFmtId="0" fontId="29" fillId="4" borderId="0" xfId="0" applyFont="1" applyFill="1" applyAlignment="1">
      <alignment horizontal="left" indent="4"/>
    </xf>
    <xf numFmtId="165" fontId="17" fillId="4" borderId="0" xfId="0" applyNumberFormat="1" applyFont="1" applyFill="1" applyAlignment="1">
      <alignment horizontal="center"/>
    </xf>
    <xf numFmtId="0" fontId="8" fillId="4" borderId="0" xfId="0" applyFont="1" applyFill="1"/>
    <xf numFmtId="166" fontId="4" fillId="4" borderId="0" xfId="0" applyNumberFormat="1" applyFont="1" applyFill="1"/>
    <xf numFmtId="0" fontId="4" fillId="4" borderId="0" xfId="0" applyFont="1" applyFill="1" applyAlignment="1">
      <alignment horizontal="center" vertical="top"/>
    </xf>
    <xf numFmtId="0" fontId="0" fillId="4" borderId="0" xfId="0" applyFill="1" applyAlignment="1">
      <alignment vertical="top"/>
    </xf>
    <xf numFmtId="0" fontId="4" fillId="4" borderId="0" xfId="0" applyFont="1" applyFill="1"/>
    <xf numFmtId="0" fontId="4" fillId="4" borderId="0" xfId="0" applyFont="1" applyFill="1" applyAlignment="1">
      <alignment horizontal="left" vertical="top"/>
    </xf>
    <xf numFmtId="0" fontId="4" fillId="4" borderId="0" xfId="0" applyFont="1" applyFill="1" applyAlignment="1">
      <alignment vertical="top"/>
    </xf>
    <xf numFmtId="0" fontId="4" fillId="4" borderId="0" xfId="0" applyFont="1" applyFill="1" applyAlignment="1">
      <alignment vertical="top" wrapText="1"/>
    </xf>
    <xf numFmtId="0" fontId="0" fillId="4" borderId="0" xfId="0" applyFill="1" applyAlignment="1">
      <alignment vertical="top" wrapText="1"/>
    </xf>
    <xf numFmtId="49" fontId="4" fillId="4" borderId="0" xfId="0" quotePrefix="1" applyNumberFormat="1" applyFont="1" applyFill="1" applyAlignment="1">
      <alignment horizontal="center" vertical="top"/>
    </xf>
    <xf numFmtId="0" fontId="4" fillId="4" borderId="0" xfId="0" applyFont="1" applyFill="1" applyAlignment="1">
      <alignment horizontal="left" vertical="top" wrapText="1"/>
    </xf>
    <xf numFmtId="0" fontId="12" fillId="2" borderId="0" xfId="0" quotePrefix="1" applyFont="1" applyFill="1" applyAlignment="1">
      <alignment horizontal="center"/>
    </xf>
    <xf numFmtId="0" fontId="12" fillId="2" borderId="3" xfId="0" quotePrefix="1" applyFont="1" applyFill="1" applyBorder="1" applyAlignment="1">
      <alignment horizontal="center"/>
    </xf>
    <xf numFmtId="169" fontId="14" fillId="2" borderId="3" xfId="0" applyNumberFormat="1" applyFont="1" applyFill="1" applyBorder="1"/>
    <xf numFmtId="0" fontId="12" fillId="4" borderId="0" xfId="0" applyFont="1" applyFill="1" applyAlignment="1">
      <alignment horizontal="center"/>
    </xf>
    <xf numFmtId="166" fontId="12" fillId="4" borderId="3" xfId="0" applyNumberFormat="1" applyFont="1" applyFill="1" applyBorder="1" applyAlignment="1">
      <alignment horizontal="center"/>
    </xf>
    <xf numFmtId="166" fontId="18" fillId="4" borderId="0" xfId="0" applyNumberFormat="1" applyFont="1" applyFill="1" applyAlignment="1">
      <alignment horizontal="center"/>
    </xf>
    <xf numFmtId="166" fontId="12" fillId="4" borderId="0" xfId="0" applyNumberFormat="1" applyFont="1" applyFill="1" applyAlignment="1">
      <alignment horizontal="center"/>
    </xf>
    <xf numFmtId="0" fontId="14" fillId="4" borderId="0" xfId="1" applyFont="1" applyFill="1"/>
    <xf numFmtId="1" fontId="14" fillId="4" borderId="0" xfId="0" applyNumberFormat="1" applyFont="1" applyFill="1" applyAlignment="1">
      <alignment horizontal="center"/>
    </xf>
    <xf numFmtId="168" fontId="14" fillId="4" borderId="0" xfId="0" applyNumberFormat="1" applyFont="1" applyFill="1"/>
    <xf numFmtId="167" fontId="14" fillId="4" borderId="0" xfId="0" applyNumberFormat="1" applyFont="1" applyFill="1"/>
    <xf numFmtId="169" fontId="14" fillId="4" borderId="3" xfId="0" applyNumberFormat="1" applyFont="1" applyFill="1" applyBorder="1"/>
    <xf numFmtId="0" fontId="14" fillId="4" borderId="0" xfId="1" applyFont="1" applyFill="1" applyAlignment="1">
      <alignment horizontal="left" indent="1"/>
    </xf>
    <xf numFmtId="0" fontId="14" fillId="4" borderId="0" xfId="0" applyFont="1" applyFill="1" applyAlignment="1">
      <alignment horizontal="center"/>
    </xf>
    <xf numFmtId="168" fontId="14" fillId="4" borderId="2" xfId="0" applyNumberFormat="1" applyFont="1" applyFill="1" applyBorder="1"/>
    <xf numFmtId="0" fontId="32" fillId="4" borderId="0" xfId="0" applyFont="1" applyFill="1"/>
    <xf numFmtId="0" fontId="21" fillId="4" borderId="12" xfId="0" applyFont="1" applyFill="1" applyBorder="1" applyAlignment="1" applyProtection="1">
      <alignment horizontal="center"/>
      <protection locked="0"/>
    </xf>
    <xf numFmtId="0" fontId="12" fillId="0" borderId="3" xfId="0" applyFont="1" applyBorder="1"/>
    <xf numFmtId="0" fontId="12" fillId="4" borderId="3" xfId="0" applyFont="1" applyFill="1" applyBorder="1" applyAlignment="1">
      <alignment horizontal="center"/>
    </xf>
    <xf numFmtId="0" fontId="14" fillId="4" borderId="0" xfId="0" applyFont="1" applyFill="1"/>
    <xf numFmtId="0" fontId="14" fillId="4" borderId="5" xfId="0" applyFont="1" applyFill="1" applyBorder="1"/>
    <xf numFmtId="0" fontId="0" fillId="4" borderId="6" xfId="0" applyFill="1" applyBorder="1"/>
    <xf numFmtId="0" fontId="0" fillId="4" borderId="7" xfId="0" applyFill="1" applyBorder="1"/>
    <xf numFmtId="0" fontId="14" fillId="4" borderId="8" xfId="0" applyFont="1" applyFill="1" applyBorder="1"/>
    <xf numFmtId="0" fontId="0" fillId="4" borderId="9" xfId="0" applyFill="1" applyBorder="1"/>
    <xf numFmtId="15" fontId="12" fillId="4" borderId="8" xfId="0" quotePrefix="1" applyNumberFormat="1" applyFont="1" applyFill="1" applyBorder="1"/>
    <xf numFmtId="0" fontId="0" fillId="4" borderId="8" xfId="0" applyFill="1" applyBorder="1"/>
    <xf numFmtId="0" fontId="19" fillId="4" borderId="0" xfId="0" applyFont="1" applyFill="1" applyAlignment="1">
      <alignment horizontal="center"/>
    </xf>
    <xf numFmtId="0" fontId="14" fillId="4" borderId="3" xfId="0" applyFont="1" applyFill="1" applyBorder="1" applyAlignment="1">
      <alignment horizontal="center"/>
    </xf>
    <xf numFmtId="0" fontId="0" fillId="4" borderId="0" xfId="0" applyFill="1" applyAlignment="1">
      <alignment horizontal="center"/>
    </xf>
    <xf numFmtId="42" fontId="14" fillId="4" borderId="0" xfId="0" applyNumberFormat="1" applyFont="1" applyFill="1"/>
    <xf numFmtId="41" fontId="14" fillId="4" borderId="0" xfId="0" applyNumberFormat="1" applyFont="1" applyFill="1"/>
    <xf numFmtId="41" fontId="0" fillId="4" borderId="0" xfId="0" applyNumberFormat="1" applyFill="1"/>
    <xf numFmtId="0" fontId="14" fillId="4" borderId="8" xfId="0" applyFont="1" applyFill="1" applyBorder="1" applyAlignment="1">
      <alignment horizontal="left" indent="2"/>
    </xf>
    <xf numFmtId="42" fontId="0" fillId="4" borderId="2" xfId="0" applyNumberFormat="1" applyFill="1" applyBorder="1"/>
    <xf numFmtId="15" fontId="20" fillId="4" borderId="8" xfId="0" quotePrefix="1" applyNumberFormat="1" applyFont="1" applyFill="1" applyBorder="1"/>
    <xf numFmtId="0" fontId="0" fillId="4" borderId="11" xfId="0" applyFill="1" applyBorder="1"/>
    <xf numFmtId="0" fontId="0" fillId="4" borderId="3" xfId="0" applyFill="1" applyBorder="1"/>
    <xf numFmtId="0" fontId="0" fillId="4" borderId="10" xfId="0" applyFill="1" applyBorder="1"/>
    <xf numFmtId="0" fontId="0" fillId="4" borderId="8" xfId="0" applyFill="1" applyBorder="1" applyAlignment="1">
      <alignment horizontal="left" indent="2"/>
    </xf>
    <xf numFmtId="169" fontId="0" fillId="4" borderId="0" xfId="0" applyNumberFormat="1" applyFill="1"/>
    <xf numFmtId="169" fontId="0" fillId="4" borderId="3" xfId="0" applyNumberFormat="1" applyFill="1" applyBorder="1"/>
    <xf numFmtId="0" fontId="14" fillId="4" borderId="8" xfId="0" applyFont="1" applyFill="1" applyBorder="1" applyAlignment="1">
      <alignment horizontal="left" indent="3"/>
    </xf>
    <xf numFmtId="168" fontId="0" fillId="4" borderId="2" xfId="0" applyNumberFormat="1" applyFill="1" applyBorder="1"/>
    <xf numFmtId="0" fontId="20" fillId="4" borderId="8" xfId="0" applyFont="1" applyFill="1" applyBorder="1"/>
    <xf numFmtId="0" fontId="14" fillId="4" borderId="11" xfId="0" applyFont="1" applyFill="1" applyBorder="1"/>
    <xf numFmtId="0" fontId="14" fillId="4" borderId="8" xfId="0" quotePrefix="1" applyFont="1" applyFill="1" applyBorder="1"/>
    <xf numFmtId="168" fontId="14" fillId="4" borderId="4" xfId="0" applyNumberFormat="1" applyFont="1" applyFill="1" applyBorder="1"/>
    <xf numFmtId="0" fontId="0" fillId="4" borderId="5" xfId="0" applyFill="1" applyBorder="1"/>
    <xf numFmtId="0" fontId="0" fillId="4" borderId="8" xfId="0" applyFill="1" applyBorder="1" applyAlignment="1">
      <alignment horizontal="center"/>
    </xf>
    <xf numFmtId="0" fontId="0" fillId="4" borderId="3" xfId="0" applyFill="1" applyBorder="1" applyAlignment="1">
      <alignment horizontal="center"/>
    </xf>
    <xf numFmtId="168" fontId="0" fillId="4" borderId="0" xfId="0" applyNumberFormat="1" applyFill="1"/>
    <xf numFmtId="168" fontId="0" fillId="4" borderId="3" xfId="0" applyNumberFormat="1" applyFill="1" applyBorder="1"/>
    <xf numFmtId="0" fontId="34" fillId="2" borderId="0" xfId="0" applyFont="1" applyFill="1"/>
    <xf numFmtId="0" fontId="12" fillId="4" borderId="0" xfId="0" quotePrefix="1" applyFont="1" applyFill="1" applyAlignment="1">
      <alignment horizontal="center"/>
    </xf>
    <xf numFmtId="0" fontId="35" fillId="0" borderId="0" xfId="0" applyFont="1"/>
    <xf numFmtId="0" fontId="4" fillId="0" borderId="0" xfId="0" applyFont="1"/>
    <xf numFmtId="167" fontId="4" fillId="4" borderId="0" xfId="0" applyNumberFormat="1" applyFont="1" applyFill="1" applyProtection="1">
      <protection locked="0"/>
    </xf>
    <xf numFmtId="0" fontId="23" fillId="0" borderId="13" xfId="0" applyFont="1" applyBorder="1" applyAlignment="1">
      <alignment horizontal="centerContinuous"/>
    </xf>
    <xf numFmtId="0" fontId="23" fillId="0" borderId="1" xfId="0" applyFont="1" applyBorder="1" applyAlignment="1">
      <alignment horizontal="centerContinuous"/>
    </xf>
    <xf numFmtId="0" fontId="23" fillId="0" borderId="14" xfId="0" applyFont="1" applyBorder="1" applyAlignment="1">
      <alignment horizontal="centerContinuous"/>
    </xf>
    <xf numFmtId="0" fontId="12" fillId="0" borderId="0" xfId="0" applyFont="1" applyAlignment="1">
      <alignment horizontal="center"/>
    </xf>
    <xf numFmtId="0" fontId="18" fillId="4" borderId="0" xfId="0" applyFont="1" applyFill="1"/>
    <xf numFmtId="0" fontId="36" fillId="4" borderId="0" xfId="0" applyFont="1" applyFill="1"/>
    <xf numFmtId="0" fontId="26" fillId="0" borderId="1" xfId="0" applyFont="1" applyBorder="1" applyAlignment="1">
      <alignment horizontal="center" wrapText="1"/>
    </xf>
    <xf numFmtId="0" fontId="14" fillId="6" borderId="0" xfId="0" applyFont="1" applyFill="1"/>
    <xf numFmtId="0" fontId="0" fillId="6" borderId="0" xfId="0" applyFill="1"/>
    <xf numFmtId="37" fontId="0" fillId="6" borderId="0" xfId="0" applyNumberFormat="1" applyFill="1"/>
    <xf numFmtId="3" fontId="0" fillId="6" borderId="0" xfId="0" applyNumberFormat="1" applyFill="1"/>
    <xf numFmtId="170" fontId="0" fillId="6" borderId="0" xfId="0" applyNumberFormat="1" applyFill="1"/>
    <xf numFmtId="0" fontId="0" fillId="7" borderId="0" xfId="0" applyFill="1"/>
    <xf numFmtId="37" fontId="0" fillId="7" borderId="0" xfId="0" applyNumberFormat="1" applyFill="1"/>
    <xf numFmtId="0" fontId="14" fillId="7" borderId="0" xfId="0" applyFont="1" applyFill="1"/>
    <xf numFmtId="0" fontId="0" fillId="0" borderId="0" xfId="0" applyAlignment="1">
      <alignment horizontal="center" wrapText="1"/>
    </xf>
    <xf numFmtId="0" fontId="0" fillId="6" borderId="15" xfId="0" applyFill="1" applyBorder="1" applyAlignment="1">
      <alignment horizontal="center"/>
    </xf>
    <xf numFmtId="167" fontId="4" fillId="2" borderId="3" xfId="0" applyNumberFormat="1" applyFont="1" applyFill="1" applyBorder="1"/>
    <xf numFmtId="0" fontId="35" fillId="4" borderId="0" xfId="0" applyFont="1" applyFill="1"/>
    <xf numFmtId="0" fontId="37" fillId="7" borderId="0" xfId="0" applyFont="1" applyFill="1"/>
    <xf numFmtId="0" fontId="39" fillId="4" borderId="0" xfId="0" applyFont="1" applyFill="1" applyAlignment="1">
      <alignment horizontal="left"/>
    </xf>
    <xf numFmtId="0" fontId="40" fillId="4" borderId="0" xfId="0" applyFont="1" applyFill="1" applyAlignment="1">
      <alignment horizontal="left" indent="1"/>
    </xf>
    <xf numFmtId="0" fontId="40" fillId="0" borderId="0" xfId="0" applyFont="1" applyAlignment="1">
      <alignment horizontal="left" indent="1"/>
    </xf>
    <xf numFmtId="1" fontId="14" fillId="0" borderId="0" xfId="0" applyNumberFormat="1" applyFont="1" applyAlignment="1">
      <alignment horizontal="center"/>
    </xf>
    <xf numFmtId="0" fontId="18" fillId="4" borderId="0" xfId="1" applyFont="1" applyFill="1"/>
    <xf numFmtId="0" fontId="20" fillId="4" borderId="0" xfId="1" applyFont="1" applyFill="1" applyAlignment="1">
      <alignment horizontal="left"/>
    </xf>
    <xf numFmtId="166" fontId="13" fillId="2" borderId="0" xfId="0" applyNumberFormat="1" applyFont="1" applyFill="1"/>
    <xf numFmtId="166" fontId="37" fillId="2" borderId="0" xfId="0" applyNumberFormat="1" applyFont="1" applyFill="1"/>
    <xf numFmtId="0" fontId="13" fillId="2" borderId="0" xfId="0" applyFont="1" applyFill="1"/>
    <xf numFmtId="166" fontId="13" fillId="2" borderId="0" xfId="0" quotePrefix="1" applyNumberFormat="1" applyFont="1" applyFill="1"/>
    <xf numFmtId="166" fontId="4" fillId="2" borderId="0" xfId="0" applyNumberFormat="1" applyFont="1" applyFill="1"/>
    <xf numFmtId="10" fontId="0" fillId="6" borderId="0" xfId="0" applyNumberFormat="1" applyFill="1"/>
    <xf numFmtId="3" fontId="0" fillId="7" borderId="0" xfId="0" applyNumberFormat="1" applyFill="1"/>
    <xf numFmtId="41" fontId="0" fillId="0" borderId="0" xfId="0" applyNumberFormat="1"/>
    <xf numFmtId="0" fontId="0" fillId="0" borderId="8" xfId="0" applyBorder="1"/>
    <xf numFmtId="0" fontId="5" fillId="2" borderId="0" xfId="0" applyFont="1" applyFill="1"/>
    <xf numFmtId="15" fontId="14" fillId="4" borderId="0" xfId="0" quotePrefix="1" applyNumberFormat="1" applyFont="1" applyFill="1" applyAlignment="1">
      <alignment horizontal="center"/>
    </xf>
    <xf numFmtId="0" fontId="0" fillId="6" borderId="13" xfId="0" applyFill="1" applyBorder="1"/>
    <xf numFmtId="0" fontId="0" fillId="6" borderId="1" xfId="0" applyFill="1" applyBorder="1"/>
    <xf numFmtId="0" fontId="0" fillId="6" borderId="14" xfId="0" applyFill="1" applyBorder="1"/>
    <xf numFmtId="0" fontId="15" fillId="4" borderId="0" xfId="0" applyFont="1" applyFill="1" applyAlignment="1">
      <alignment horizontal="left" vertical="center"/>
    </xf>
    <xf numFmtId="0" fontId="14" fillId="0" borderId="0" xfId="0" applyFont="1" applyAlignment="1">
      <alignment horizontal="center" wrapText="1"/>
    </xf>
    <xf numFmtId="0" fontId="38" fillId="0" borderId="0" xfId="0" applyFont="1"/>
    <xf numFmtId="0" fontId="38" fillId="4" borderId="0" xfId="0" applyFont="1" applyFill="1" applyAlignment="1">
      <alignment horizontal="left"/>
    </xf>
    <xf numFmtId="0" fontId="17" fillId="0" borderId="0" xfId="0" applyFont="1"/>
    <xf numFmtId="38" fontId="10" fillId="0" borderId="0" xfId="9" applyNumberFormat="1" applyFill="1" applyBorder="1" applyAlignment="1">
      <alignment wrapText="1"/>
    </xf>
    <xf numFmtId="170" fontId="42" fillId="0" borderId="0" xfId="3" applyNumberFormat="1" applyFont="1" applyFill="1" applyBorder="1" applyAlignment="1"/>
    <xf numFmtId="37" fontId="0" fillId="0" borderId="0" xfId="0" applyNumberFormat="1" applyAlignment="1">
      <alignment horizontal="center"/>
    </xf>
    <xf numFmtId="0" fontId="12" fillId="0" borderId="0" xfId="0" applyFont="1" applyAlignment="1">
      <alignment horizontal="center" wrapText="1"/>
    </xf>
    <xf numFmtId="0" fontId="10" fillId="0" borderId="0" xfId="2" applyNumberFormat="1" applyFont="1" applyFill="1" applyBorder="1" applyAlignment="1">
      <alignment horizontal="center"/>
    </xf>
    <xf numFmtId="0" fontId="37" fillId="7" borderId="0" xfId="0" applyFont="1" applyFill="1" applyAlignment="1">
      <alignment horizontal="left"/>
    </xf>
    <xf numFmtId="37" fontId="14" fillId="6" borderId="15" xfId="0" applyNumberFormat="1" applyFont="1" applyFill="1" applyBorder="1" applyAlignment="1">
      <alignment horizontal="center"/>
    </xf>
    <xf numFmtId="37" fontId="0" fillId="0" borderId="0" xfId="0" applyNumberFormat="1" applyAlignment="1">
      <alignment horizontal="center" wrapText="1"/>
    </xf>
    <xf numFmtId="167" fontId="0" fillId="4" borderId="0" xfId="0" applyNumberFormat="1" applyFill="1"/>
    <xf numFmtId="0" fontId="14" fillId="0" borderId="8" xfId="0" applyFont="1" applyBorder="1"/>
    <xf numFmtId="167" fontId="4" fillId="2" borderId="12" xfId="0" applyNumberFormat="1" applyFont="1" applyFill="1" applyBorder="1" applyProtection="1">
      <protection locked="0"/>
    </xf>
    <xf numFmtId="168" fontId="12" fillId="0" borderId="0" xfId="0" applyNumberFormat="1" applyFont="1"/>
    <xf numFmtId="169" fontId="12" fillId="0" borderId="0" xfId="0" applyNumberFormat="1" applyFont="1"/>
    <xf numFmtId="37" fontId="14" fillId="7" borderId="0" xfId="0" applyNumberFormat="1" applyFont="1" applyFill="1"/>
    <xf numFmtId="37" fontId="14" fillId="0" borderId="0" xfId="0" applyNumberFormat="1" applyFont="1"/>
    <xf numFmtId="0" fontId="0" fillId="0" borderId="3" xfId="0" applyBorder="1"/>
    <xf numFmtId="174" fontId="0" fillId="0" borderId="0" xfId="2" applyNumberFormat="1" applyFont="1"/>
    <xf numFmtId="0" fontId="0" fillId="0" borderId="0" xfId="0" applyAlignment="1">
      <alignment wrapText="1"/>
    </xf>
    <xf numFmtId="167" fontId="0" fillId="2" borderId="0" xfId="0" applyNumberFormat="1" applyFill="1"/>
    <xf numFmtId="168" fontId="14" fillId="0" borderId="2" xfId="0" applyNumberFormat="1" applyFont="1" applyBorder="1"/>
    <xf numFmtId="167" fontId="0" fillId="0" borderId="0" xfId="0" applyNumberFormat="1"/>
    <xf numFmtId="0" fontId="4" fillId="10" borderId="0" xfId="0" applyFont="1" applyFill="1" applyAlignment="1">
      <alignment horizontal="left" indent="2"/>
    </xf>
    <xf numFmtId="0" fontId="4" fillId="10" borderId="0" xfId="0" applyFont="1" applyFill="1" applyAlignment="1">
      <alignment horizontal="center"/>
    </xf>
    <xf numFmtId="167" fontId="4" fillId="10" borderId="0" xfId="0" applyNumberFormat="1" applyFont="1" applyFill="1" applyProtection="1">
      <protection locked="0"/>
    </xf>
    <xf numFmtId="167" fontId="4" fillId="10" borderId="0" xfId="0" applyNumberFormat="1" applyFont="1" applyFill="1"/>
    <xf numFmtId="0" fontId="14" fillId="10" borderId="0" xfId="1" applyFont="1" applyFill="1"/>
    <xf numFmtId="1" fontId="14" fillId="10" borderId="0" xfId="0" applyNumberFormat="1" applyFont="1" applyFill="1" applyAlignment="1">
      <alignment horizontal="center"/>
    </xf>
    <xf numFmtId="169" fontId="14" fillId="10" borderId="0" xfId="0" applyNumberFormat="1" applyFont="1" applyFill="1"/>
    <xf numFmtId="167" fontId="14" fillId="10" borderId="0" xfId="0" applyNumberFormat="1" applyFont="1" applyFill="1"/>
    <xf numFmtId="0" fontId="14" fillId="10" borderId="3" xfId="0" applyFont="1" applyFill="1" applyBorder="1" applyAlignment="1">
      <alignment horizontal="center" wrapText="1"/>
    </xf>
    <xf numFmtId="37" fontId="0" fillId="10" borderId="0" xfId="0" applyNumberFormat="1" applyFill="1"/>
    <xf numFmtId="169" fontId="14" fillId="11" borderId="0" xfId="0" applyNumberFormat="1" applyFont="1" applyFill="1"/>
    <xf numFmtId="0" fontId="4" fillId="11" borderId="0" xfId="0" applyFont="1" applyFill="1" applyAlignment="1">
      <alignment horizontal="center"/>
    </xf>
    <xf numFmtId="175" fontId="12" fillId="0" borderId="17" xfId="12" applyNumberFormat="1" applyFont="1" applyFill="1" applyBorder="1" applyAlignment="1">
      <alignment horizontal="center" wrapText="1"/>
    </xf>
    <xf numFmtId="0" fontId="12" fillId="0" borderId="17" xfId="10" applyFont="1" applyFill="1" applyBorder="1">
      <alignment horizontal="center"/>
    </xf>
    <xf numFmtId="168" fontId="0" fillId="8" borderId="2" xfId="0" applyNumberFormat="1" applyFill="1" applyBorder="1"/>
    <xf numFmtId="0" fontId="33" fillId="0" borderId="0" xfId="4" applyAlignment="1">
      <alignment vertical="center"/>
    </xf>
    <xf numFmtId="176" fontId="0" fillId="12" borderId="19" xfId="16" applyNumberFormat="1" applyFont="1" applyFill="1" applyBorder="1"/>
    <xf numFmtId="176" fontId="0" fillId="0" borderId="19" xfId="16" applyNumberFormat="1" applyFont="1" applyBorder="1"/>
    <xf numFmtId="176" fontId="0" fillId="13" borderId="19" xfId="16" applyNumberFormat="1" applyFont="1" applyFill="1" applyBorder="1"/>
    <xf numFmtId="44" fontId="0" fillId="0" borderId="0" xfId="16" applyFont="1"/>
    <xf numFmtId="176" fontId="0" fillId="0" borderId="0" xfId="16" applyNumberFormat="1" applyFont="1"/>
    <xf numFmtId="176" fontId="0" fillId="14" borderId="0" xfId="0" applyNumberFormat="1" applyFill="1"/>
    <xf numFmtId="177" fontId="0" fillId="0" borderId="0" xfId="3" applyNumberFormat="1" applyFont="1"/>
    <xf numFmtId="0" fontId="45" fillId="8" borderId="0" xfId="0" applyFont="1" applyFill="1" applyAlignment="1">
      <alignment horizontal="center"/>
    </xf>
    <xf numFmtId="172" fontId="45" fillId="0" borderId="0" xfId="12" applyNumberFormat="1" applyFont="1" applyFill="1" applyBorder="1" applyAlignment="1">
      <alignment horizontal="center"/>
    </xf>
    <xf numFmtId="0" fontId="45" fillId="8" borderId="0" xfId="0" applyFont="1" applyFill="1" applyAlignment="1">
      <alignment horizontal="left"/>
    </xf>
    <xf numFmtId="0" fontId="46" fillId="0" borderId="0" xfId="0" applyFont="1"/>
    <xf numFmtId="0" fontId="46" fillId="0" borderId="0" xfId="0" applyFont="1" applyAlignment="1">
      <alignment vertical="center"/>
    </xf>
    <xf numFmtId="171" fontId="45" fillId="8" borderId="0" xfId="2" applyNumberFormat="1" applyFont="1" applyFill="1" applyAlignment="1">
      <alignment horizontal="center"/>
    </xf>
    <xf numFmtId="38" fontId="46" fillId="0" borderId="0" xfId="9" applyNumberFormat="1" applyFont="1" applyFill="1" applyBorder="1" applyAlignment="1"/>
    <xf numFmtId="171" fontId="45" fillId="0" borderId="0" xfId="2" applyNumberFormat="1" applyFont="1" applyFill="1" applyAlignment="1">
      <alignment horizontal="center"/>
    </xf>
    <xf numFmtId="171" fontId="45" fillId="8" borderId="3" xfId="2" applyNumberFormat="1" applyFont="1" applyFill="1" applyBorder="1" applyAlignment="1">
      <alignment horizontal="center"/>
    </xf>
    <xf numFmtId="43" fontId="0" fillId="0" borderId="0" xfId="2" applyFont="1"/>
    <xf numFmtId="43" fontId="45" fillId="8" borderId="0" xfId="2" applyFont="1" applyFill="1" applyAlignment="1">
      <alignment horizontal="left"/>
    </xf>
    <xf numFmtId="43" fontId="12" fillId="0" borderId="0" xfId="2" applyFont="1"/>
    <xf numFmtId="171" fontId="45" fillId="8" borderId="0" xfId="2" applyNumberFormat="1" applyFont="1" applyFill="1" applyBorder="1" applyAlignment="1">
      <alignment horizontal="center"/>
    </xf>
    <xf numFmtId="43" fontId="12" fillId="0" borderId="2" xfId="2" applyFont="1" applyBorder="1"/>
    <xf numFmtId="37" fontId="46" fillId="0" borderId="0" xfId="9" applyNumberFormat="1" applyFont="1" applyFill="1" applyBorder="1" applyAlignment="1"/>
    <xf numFmtId="171" fontId="0" fillId="14" borderId="0" xfId="0" applyNumberFormat="1" applyFill="1"/>
    <xf numFmtId="0" fontId="0" fillId="16" borderId="0" xfId="0" applyFill="1" applyAlignment="1">
      <alignment horizontal="center"/>
    </xf>
    <xf numFmtId="0" fontId="0" fillId="16" borderId="15" xfId="0" applyFill="1" applyBorder="1" applyAlignment="1">
      <alignment horizontal="center"/>
    </xf>
    <xf numFmtId="0" fontId="0" fillId="16" borderId="0" xfId="0" applyFill="1" applyAlignment="1">
      <alignment horizontal="center" wrapText="1"/>
    </xf>
    <xf numFmtId="37" fontId="0" fillId="16" borderId="0" xfId="0" applyNumberFormat="1" applyFill="1"/>
    <xf numFmtId="0" fontId="34" fillId="15" borderId="0" xfId="0" applyFont="1" applyFill="1"/>
    <xf numFmtId="0" fontId="0" fillId="17" borderId="0" xfId="0" applyFill="1"/>
    <xf numFmtId="171" fontId="0" fillId="0" borderId="0" xfId="0" applyNumberFormat="1"/>
    <xf numFmtId="0" fontId="0" fillId="0" borderId="18" xfId="0" applyBorder="1"/>
    <xf numFmtId="0" fontId="0" fillId="0" borderId="19" xfId="0" applyBorder="1"/>
    <xf numFmtId="177" fontId="0" fillId="0" borderId="19" xfId="3" applyNumberFormat="1" applyFont="1" applyFill="1" applyBorder="1"/>
    <xf numFmtId="37" fontId="44" fillId="0" borderId="19" xfId="0" applyNumberFormat="1" applyFont="1" applyBorder="1"/>
    <xf numFmtId="0" fontId="10" fillId="0" borderId="18" xfId="12" applyNumberFormat="1" applyFont="1" applyFill="1" applyBorder="1" applyAlignment="1">
      <alignment horizontal="center"/>
    </xf>
    <xf numFmtId="38" fontId="10" fillId="0" borderId="19" xfId="9" applyNumberFormat="1" applyFill="1" applyBorder="1" applyAlignment="1"/>
    <xf numFmtId="38" fontId="43" fillId="0" borderId="19" xfId="9" applyNumberFormat="1" applyFont="1" applyFill="1" applyBorder="1" applyAlignment="1"/>
    <xf numFmtId="172" fontId="45" fillId="8" borderId="0" xfId="14" applyNumberFormat="1" applyFont="1" applyFill="1" applyBorder="1" applyAlignment="1">
      <alignment horizontal="center" vertical="center"/>
    </xf>
    <xf numFmtId="172" fontId="45" fillId="8" borderId="0" xfId="14" applyNumberFormat="1" applyFont="1" applyFill="1" applyBorder="1" applyAlignment="1">
      <alignment horizontal="left" vertical="center"/>
    </xf>
    <xf numFmtId="0" fontId="45" fillId="8" borderId="0" xfId="14" applyNumberFormat="1" applyFont="1" applyFill="1" applyBorder="1" applyAlignment="1">
      <alignment horizontal="center" vertical="center"/>
    </xf>
    <xf numFmtId="0" fontId="45" fillId="0" borderId="0" xfId="12" applyNumberFormat="1" applyFont="1" applyFill="1" applyBorder="1" applyAlignment="1">
      <alignment horizontal="center"/>
    </xf>
    <xf numFmtId="0" fontId="48" fillId="0" borderId="0" xfId="0" applyFont="1"/>
    <xf numFmtId="172" fontId="0" fillId="0" borderId="0" xfId="0" applyNumberFormat="1"/>
    <xf numFmtId="3" fontId="0" fillId="0" borderId="0" xfId="0" applyNumberFormat="1" applyAlignment="1">
      <alignment horizontal="center"/>
    </xf>
    <xf numFmtId="3" fontId="12" fillId="0" borderId="0" xfId="0" applyNumberFormat="1" applyFont="1" applyAlignment="1">
      <alignment horizontal="center"/>
    </xf>
    <xf numFmtId="3" fontId="0" fillId="0" borderId="20" xfId="16" applyNumberFormat="1" applyFont="1" applyFill="1" applyBorder="1"/>
    <xf numFmtId="3" fontId="0" fillId="15" borderId="0" xfId="16" applyNumberFormat="1" applyFont="1" applyFill="1"/>
    <xf numFmtId="3" fontId="0" fillId="0" borderId="0" xfId="2" applyNumberFormat="1" applyFont="1"/>
    <xf numFmtId="172" fontId="10" fillId="0" borderId="0" xfId="12" applyNumberFormat="1" applyFont="1" applyFill="1" applyBorder="1" applyAlignment="1"/>
    <xf numFmtId="38" fontId="10" fillId="0" borderId="21" xfId="9" applyNumberFormat="1" applyFill="1" applyBorder="1" applyAlignment="1">
      <alignment wrapText="1"/>
    </xf>
    <xf numFmtId="172" fontId="10" fillId="0" borderId="17" xfId="12" applyNumberFormat="1" applyFont="1" applyFill="1" applyBorder="1" applyAlignment="1"/>
    <xf numFmtId="38" fontId="10" fillId="0" borderId="22" xfId="9" applyNumberFormat="1" applyFill="1" applyBorder="1" applyAlignment="1">
      <alignment wrapText="1"/>
    </xf>
    <xf numFmtId="175" fontId="10" fillId="0" borderId="17" xfId="12" applyNumberFormat="1" applyFont="1" applyFill="1" applyBorder="1"/>
    <xf numFmtId="0" fontId="10" fillId="0" borderId="23" xfId="0" applyFont="1" applyBorder="1"/>
    <xf numFmtId="173" fontId="10" fillId="0" borderId="0" xfId="12" applyNumberFormat="1" applyFont="1" applyFill="1" applyBorder="1" applyAlignment="1"/>
    <xf numFmtId="41" fontId="14" fillId="0" borderId="3" xfId="0" applyNumberFormat="1" applyFont="1" applyBorder="1" applyAlignment="1">
      <alignment horizontal="center" wrapText="1"/>
    </xf>
    <xf numFmtId="41" fontId="0" fillId="0" borderId="3" xfId="0" applyNumberFormat="1" applyBorder="1" applyAlignment="1">
      <alignment horizontal="center" wrapText="1"/>
    </xf>
    <xf numFmtId="41" fontId="0" fillId="0" borderId="0" xfId="16" applyNumberFormat="1" applyFont="1"/>
    <xf numFmtId="0" fontId="33" fillId="0" borderId="0" xfId="4"/>
    <xf numFmtId="0" fontId="0" fillId="0" borderId="0" xfId="0"/>
    <xf numFmtId="0" fontId="20" fillId="4" borderId="0" xfId="0" applyFont="1" applyFill="1" applyAlignment="1">
      <alignment horizontal="left"/>
    </xf>
    <xf numFmtId="0" fontId="38" fillId="7" borderId="0" xfId="0" applyFont="1" applyFill="1" applyAlignment="1">
      <alignment horizontal="center"/>
    </xf>
    <xf numFmtId="0" fontId="15" fillId="4" borderId="0" xfId="0" applyFont="1" applyFill="1" applyAlignment="1">
      <alignment horizontal="left" vertical="center"/>
    </xf>
    <xf numFmtId="0" fontId="0" fillId="4" borderId="0" xfId="0" applyFill="1" applyAlignment="1">
      <alignment vertical="center"/>
    </xf>
    <xf numFmtId="0" fontId="4" fillId="4" borderId="0" xfId="0" applyFont="1" applyFill="1" applyAlignment="1">
      <alignment vertical="top" wrapText="1"/>
    </xf>
    <xf numFmtId="0" fontId="0" fillId="4" borderId="0" xfId="0" applyFill="1" applyAlignment="1">
      <alignment vertical="top"/>
    </xf>
    <xf numFmtId="0" fontId="0" fillId="4" borderId="0" xfId="0" applyFill="1" applyAlignment="1">
      <alignment vertical="top" wrapText="1"/>
    </xf>
    <xf numFmtId="0" fontId="4" fillId="4" borderId="0" xfId="0" applyFont="1" applyFill="1" applyAlignment="1">
      <alignment horizontal="left" vertical="top" wrapText="1"/>
    </xf>
    <xf numFmtId="0" fontId="12" fillId="4" borderId="0" xfId="0" quotePrefix="1" applyFont="1" applyFill="1" applyAlignment="1">
      <alignment horizontal="center"/>
    </xf>
    <xf numFmtId="0" fontId="12" fillId="0" borderId="0" xfId="0" applyFont="1" applyAlignment="1">
      <alignment horizontal="center"/>
    </xf>
    <xf numFmtId="0" fontId="14" fillId="4" borderId="0" xfId="1" applyFont="1" applyFill="1" applyAlignment="1">
      <alignment horizontal="left" wrapText="1"/>
    </xf>
    <xf numFmtId="0" fontId="0" fillId="0" borderId="0" xfId="0" applyAlignment="1">
      <alignment horizontal="left" wrapText="1"/>
    </xf>
    <xf numFmtId="0" fontId="14" fillId="4" borderId="0" xfId="0" applyFont="1" applyFill="1" applyAlignment="1">
      <alignment horizontal="left" vertical="top" wrapText="1"/>
    </xf>
    <xf numFmtId="0" fontId="0" fillId="0" borderId="0" xfId="0" applyAlignment="1">
      <alignment horizontal="center"/>
    </xf>
    <xf numFmtId="0" fontId="20" fillId="4" borderId="8" xfId="0" applyFont="1" applyFill="1" applyBorder="1" applyAlignment="1">
      <alignment wrapText="1"/>
    </xf>
    <xf numFmtId="0" fontId="20" fillId="4" borderId="0" xfId="0" applyFont="1" applyFill="1" applyAlignment="1">
      <alignment wrapText="1"/>
    </xf>
    <xf numFmtId="0" fontId="20" fillId="4" borderId="9" xfId="0" applyFont="1" applyFill="1" applyBorder="1" applyAlignment="1">
      <alignment wrapText="1"/>
    </xf>
    <xf numFmtId="0" fontId="20" fillId="4" borderId="8" xfId="0" applyFont="1" applyFill="1" applyBorder="1" applyAlignment="1">
      <alignment vertical="top" wrapText="1"/>
    </xf>
    <xf numFmtId="0" fontId="0" fillId="4" borderId="9" xfId="0" applyFill="1" applyBorder="1" applyAlignment="1">
      <alignment vertical="top" wrapText="1"/>
    </xf>
    <xf numFmtId="0" fontId="14" fillId="0" borderId="0" xfId="0" applyFont="1" applyAlignment="1">
      <alignment horizontal="center"/>
    </xf>
    <xf numFmtId="0" fontId="0" fillId="0" borderId="0" xfId="0" applyAlignment="1">
      <alignment vertical="top"/>
    </xf>
    <xf numFmtId="0" fontId="0" fillId="0" borderId="0" xfId="0" applyAlignment="1">
      <alignment wrapText="1"/>
    </xf>
    <xf numFmtId="0" fontId="20" fillId="4" borderId="0" xfId="0" applyFont="1" applyFill="1"/>
    <xf numFmtId="0" fontId="20" fillId="7" borderId="8" xfId="0" quotePrefix="1" applyFont="1" applyFill="1" applyBorder="1" applyAlignment="1">
      <alignment horizontal="left" wrapText="1"/>
    </xf>
    <xf numFmtId="0" fontId="20" fillId="7" borderId="0" xfId="0" applyFont="1" applyFill="1"/>
    <xf numFmtId="0" fontId="20" fillId="7" borderId="9" xfId="0" applyFont="1" applyFill="1" applyBorder="1"/>
    <xf numFmtId="0" fontId="4" fillId="10" borderId="0" xfId="0" applyFont="1" applyFill="1" applyAlignment="1">
      <alignment horizontal="left" vertical="top" wrapText="1"/>
    </xf>
    <xf numFmtId="0" fontId="0" fillId="10" borderId="0" xfId="0" applyFill="1" applyAlignment="1">
      <alignment vertical="top" wrapText="1"/>
    </xf>
    <xf numFmtId="0" fontId="14" fillId="5" borderId="13" xfId="0" applyFont="1" applyFill="1" applyBorder="1" applyAlignment="1">
      <alignment horizontal="center"/>
    </xf>
    <xf numFmtId="0" fontId="14" fillId="5" borderId="1" xfId="0" applyFont="1" applyFill="1" applyBorder="1" applyAlignment="1">
      <alignment horizontal="center"/>
    </xf>
    <xf numFmtId="0" fontId="14" fillId="5" borderId="14" xfId="0" applyFont="1" applyFill="1" applyBorder="1" applyAlignment="1">
      <alignment horizontal="center"/>
    </xf>
    <xf numFmtId="0" fontId="0" fillId="5" borderId="13" xfId="0" applyFill="1" applyBorder="1" applyAlignment="1">
      <alignment horizontal="center"/>
    </xf>
    <xf numFmtId="0" fontId="0" fillId="5" borderId="1" xfId="0" applyFill="1" applyBorder="1" applyAlignment="1">
      <alignment horizontal="center"/>
    </xf>
    <xf numFmtId="0" fontId="14" fillId="0" borderId="0" xfId="0" applyFont="1" applyAlignment="1">
      <alignment horizontal="center" wrapText="1"/>
    </xf>
    <xf numFmtId="0" fontId="0" fillId="0" borderId="0" xfId="0" applyAlignment="1">
      <alignment horizontal="center" wrapText="1"/>
    </xf>
  </cellXfs>
  <cellStyles count="17">
    <cellStyle name="columnheader1" xfId="10" xr:uid="{00000000-0005-0000-0000-000000000000}"/>
    <cellStyle name="Comma" xfId="2" builtinId="3"/>
    <cellStyle name="Comma 2" xfId="12" xr:uid="{EAA45A2C-2F6D-4359-A60A-07BBC5A98FC4}"/>
    <cellStyle name="Comma 2 3" xfId="14" xr:uid="{DC5802DA-666C-4DDD-96B0-21D7E205F314}"/>
    <cellStyle name="Comma 3" xfId="5" xr:uid="{00000000-0005-0000-0000-000002000000}"/>
    <cellStyle name="Currency" xfId="16" builtinId="4"/>
    <cellStyle name="Hyperlink" xfId="4" builtinId="8"/>
    <cellStyle name="Normal" xfId="0" builtinId="0"/>
    <cellStyle name="Normal 2" xfId="9" xr:uid="{00000000-0005-0000-0000-000005000000}"/>
    <cellStyle name="Normal 2 4" xfId="13" xr:uid="{B504E79E-1E7A-4028-AC15-3DFC3D4C8C8B}"/>
    <cellStyle name="Normal 3" xfId="6" xr:uid="{00000000-0005-0000-0000-000006000000}"/>
    <cellStyle name="Normal 5" xfId="8" xr:uid="{00000000-0005-0000-0000-000007000000}"/>
    <cellStyle name="Normal 5 4" xfId="11" xr:uid="{51F4B9CE-ECEC-4E12-9F04-35E7DE60F5DA}"/>
    <cellStyle name="Normal_2006gfa x" xfId="1" xr:uid="{00000000-0005-0000-0000-000008000000}"/>
    <cellStyle name="Percent" xfId="3" builtinId="5"/>
    <cellStyle name="Percent 2 3" xfId="15" xr:uid="{2052AE4A-1C94-44EF-910B-DC306832A225}"/>
    <cellStyle name="Percent 3" xfId="7" xr:uid="{00000000-0005-0000-0000-00000A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s>
  <tableStyles count="0" defaultTableStyle="TableStyleMedium9" defaultPivotStyle="PivotStyleLight16"/>
  <colors>
    <mruColors>
      <color rgb="FFB7FFD8"/>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10</xdr:row>
      <xdr:rowOff>66678</xdr:rowOff>
    </xdr:from>
    <xdr:to>
      <xdr:col>2</xdr:col>
      <xdr:colOff>1</xdr:colOff>
      <xdr:row>29</xdr:row>
      <xdr:rowOff>152401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100" y="1704978"/>
          <a:ext cx="5191126" cy="316229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a:latin typeface="Arial" panose="020B0604020202020204" pitchFamily="34" charset="0"/>
              <a:cs typeface="Arial" panose="020B0604020202020204" pitchFamily="34" charset="0"/>
            </a:rPr>
            <a:t>This</a:t>
          </a:r>
          <a:r>
            <a:rPr lang="en-US" sz="950" baseline="0">
              <a:latin typeface="Arial" panose="020B0604020202020204" pitchFamily="34" charset="0"/>
              <a:cs typeface="Arial" panose="020B0604020202020204" pitchFamily="34" charset="0"/>
            </a:rPr>
            <a:t> template automatically generates the GASB 75 journal entries (13th period) and certain note disclosures (see below) for the following component units that participate in the Retiree Health Benefit Fund (RHBF): </a:t>
          </a:r>
        </a:p>
        <a:p>
          <a:endParaRPr lang="en-US" sz="800" baseline="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University of North Carolina System (19)</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Community colleges (58)</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Housing Finance Agency</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State Education Assistance Authority</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State Health Plan</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State Ports Authority</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Global TransPark Authority</a:t>
          </a:r>
        </a:p>
        <a:p>
          <a:pPr marL="171450" indent="-171450">
            <a:buFont typeface="Arial" panose="020B0604020202020204" pitchFamily="34" charset="0"/>
            <a:buChar char="•"/>
          </a:pPr>
          <a:endParaRPr lang="en-US" sz="800" baseline="0">
            <a:latin typeface="Arial" panose="020B0604020202020204" pitchFamily="34" charset="0"/>
            <a:cs typeface="Arial" panose="020B0604020202020204" pitchFamily="34" charset="0"/>
          </a:endParaRPr>
        </a:p>
        <a:p>
          <a:pPr marL="0" indent="0">
            <a:buFontTx/>
            <a:buNone/>
          </a:pPr>
          <a:r>
            <a:rPr lang="en-US" sz="950" baseline="0">
              <a:latin typeface="Arial" panose="020B0604020202020204" pitchFamily="34" charset="0"/>
              <a:cs typeface="Arial" panose="020B0604020202020204" pitchFamily="34" charset="0"/>
            </a:rPr>
            <a:t>This template provides note disclosures required by GASB 75, paragraphs 96h(1) thru (5), 96i(1), and 96i(2). It also provides information needed to complete CAFR worksheeet 310.</a:t>
          </a:r>
        </a:p>
        <a:p>
          <a:endParaRPr lang="en-US" sz="950" baseline="0">
            <a:latin typeface="Arial" panose="020B0604020202020204" pitchFamily="34" charset="0"/>
            <a:cs typeface="Arial" panose="020B0604020202020204" pitchFamily="34" charset="0"/>
          </a:endParaRPr>
        </a:p>
        <a:p>
          <a:r>
            <a:rPr lang="en-US" sz="950" baseline="0">
              <a:latin typeface="Arial" panose="020B0604020202020204" pitchFamily="34" charset="0"/>
              <a:cs typeface="Arial" panose="020B0604020202020204" pitchFamily="34" charset="0"/>
            </a:rPr>
            <a:t>The OPEB data in this template was obtained from the Department of State Treasurer. The Office of the State Auditor (OSA) has completed a financial audit of the </a:t>
          </a:r>
          <a:r>
            <a:rPr lang="en-US" sz="950" baseline="0">
              <a:solidFill>
                <a:sysClr val="windowText" lastClr="000000"/>
              </a:solidFill>
              <a:latin typeface="Arial" panose="020B0604020202020204" pitchFamily="34" charset="0"/>
              <a:cs typeface="Arial" panose="020B0604020202020204" pitchFamily="34" charset="0"/>
            </a:rPr>
            <a:t>RHBF</a:t>
          </a:r>
          <a:r>
            <a:rPr lang="en-US" sz="950" baseline="0">
              <a:latin typeface="Arial" panose="020B0604020202020204" pitchFamily="34" charset="0"/>
              <a:cs typeface="Arial" panose="020B0604020202020204" pitchFamily="34" charset="0"/>
            </a:rPr>
            <a:t> Schedule of Employer Allocations and the </a:t>
          </a:r>
          <a:r>
            <a:rPr lang="en-US" sz="950" baseline="0">
              <a:solidFill>
                <a:sysClr val="windowText" lastClr="000000"/>
              </a:solidFill>
              <a:latin typeface="Arial" panose="020B0604020202020204" pitchFamily="34" charset="0"/>
              <a:cs typeface="Arial" panose="020B0604020202020204" pitchFamily="34" charset="0"/>
            </a:rPr>
            <a:t>RHBF</a:t>
          </a:r>
          <a:r>
            <a:rPr lang="en-US" sz="950" baseline="0">
              <a:latin typeface="Arial" panose="020B0604020202020204" pitchFamily="34" charset="0"/>
              <a:cs typeface="Arial" panose="020B0604020202020204" pitchFamily="34" charset="0"/>
            </a:rPr>
            <a:t> Schedule of OPEB Amounts by Employer for the year ended June 30, 2024. Component units will report the FY2024 OPEB allocations for DIPNC in their FY2025 financial statements. </a:t>
          </a:r>
          <a:r>
            <a:rPr lang="en-US" sz="950" b="1" u="sng" baseline="0">
              <a:latin typeface="Arial" panose="020B0604020202020204" pitchFamily="34" charset="0"/>
              <a:cs typeface="Arial" panose="020B0604020202020204" pitchFamily="34" charset="0"/>
            </a:rPr>
            <a:t>Each component unit should verify that the OPEB amounts provided by this template agree with the OPEB schedules in OSA's audit report (see link below)</a:t>
          </a:r>
          <a:r>
            <a:rPr lang="en-US" sz="950" b="1" baseline="0">
              <a:latin typeface="Arial" panose="020B0604020202020204" pitchFamily="34" charset="0"/>
              <a:cs typeface="Arial" panose="020B0604020202020204" pitchFamily="34" charset="0"/>
            </a:rPr>
            <a:t>.</a:t>
          </a:r>
        </a:p>
        <a:p>
          <a:endParaRPr lang="en-US" sz="1000" baseline="0">
            <a:latin typeface="Arial" panose="020B0604020202020204" pitchFamily="34" charset="0"/>
            <a:cs typeface="Arial" panose="020B0604020202020204" pitchFamily="34" charset="0"/>
          </a:endParaRPr>
        </a:p>
        <a:p>
          <a:endParaRPr lang="en-US" sz="900" i="1" baseline="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les.nc.gov/nc-auditor/documents/2025-04/FIN-2024-3400-OPEB.pdf" TargetMode="External"/><Relationship Id="rId1" Type="http://schemas.openxmlformats.org/officeDocument/2006/relationships/hyperlink" Target="mailto:virginia.sisson@ncosc.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showGridLines="0" tabSelected="1" zoomScale="124" zoomScaleNormal="124" workbookViewId="0">
      <selection activeCell="B5" sqref="B5"/>
    </sheetView>
  </sheetViews>
  <sheetFormatPr defaultRowHeight="13.2" x14ac:dyDescent="0.25"/>
  <cols>
    <col min="1" max="1" width="24.6640625" customWidth="1"/>
    <col min="2" max="2" width="53.6640625" customWidth="1"/>
    <col min="3" max="3" width="46.6640625" customWidth="1"/>
  </cols>
  <sheetData>
    <row r="1" spans="1:4" x14ac:dyDescent="0.25">
      <c r="A1" s="54" t="s">
        <v>230</v>
      </c>
      <c r="B1" s="18"/>
      <c r="C1" s="18"/>
      <c r="D1" s="2"/>
    </row>
    <row r="2" spans="1:4" x14ac:dyDescent="0.25">
      <c r="A2" s="54" t="s">
        <v>162</v>
      </c>
      <c r="B2" s="18"/>
    </row>
    <row r="3" spans="1:4" x14ac:dyDescent="0.25">
      <c r="A3" s="53" t="s">
        <v>819</v>
      </c>
      <c r="B3" s="18"/>
      <c r="C3" s="18"/>
    </row>
    <row r="4" spans="1:4" ht="14.1" customHeight="1" x14ac:dyDescent="0.3">
      <c r="A4" s="53"/>
      <c r="B4" s="18"/>
      <c r="C4" s="56"/>
    </row>
    <row r="5" spans="1:4" ht="13.8" x14ac:dyDescent="0.3">
      <c r="A5" s="57" t="s">
        <v>140</v>
      </c>
      <c r="B5" s="88" t="s">
        <v>37</v>
      </c>
      <c r="C5" s="151" t="s">
        <v>179</v>
      </c>
    </row>
    <row r="6" spans="1:4" ht="12.75" customHeight="1" x14ac:dyDescent="0.25">
      <c r="A6" s="18"/>
      <c r="B6" s="18"/>
      <c r="C6" s="58"/>
    </row>
    <row r="7" spans="1:4" ht="12.75" customHeight="1" x14ac:dyDescent="0.3">
      <c r="A7" s="273" t="s">
        <v>820</v>
      </c>
      <c r="B7" s="273"/>
      <c r="C7" s="152"/>
    </row>
    <row r="8" spans="1:4" ht="12.75" customHeight="1" x14ac:dyDescent="0.25">
      <c r="A8" s="18"/>
      <c r="B8" s="18"/>
      <c r="C8" s="58"/>
    </row>
    <row r="9" spans="1:4" x14ac:dyDescent="0.25">
      <c r="A9" s="91" t="s">
        <v>231</v>
      </c>
      <c r="B9" s="18">
        <f>VLOOKUP(B5,Data!A:B,2,FALSE)</f>
        <v>20100</v>
      </c>
      <c r="C9" s="59"/>
    </row>
    <row r="10" spans="1:4" ht="13.8" hidden="1" x14ac:dyDescent="0.3">
      <c r="A10" s="91" t="s">
        <v>157</v>
      </c>
      <c r="B10" s="18">
        <f>VLOOKUP(B5,Data!A:X,24,FALSE)</f>
        <v>1</v>
      </c>
      <c r="C10" s="150" t="s">
        <v>178</v>
      </c>
    </row>
    <row r="11" spans="1:4" x14ac:dyDescent="0.25">
      <c r="A11" s="18"/>
      <c r="B11" s="18"/>
      <c r="C11" s="148"/>
    </row>
    <row r="12" spans="1:4" x14ac:dyDescent="0.25">
      <c r="A12" s="18"/>
      <c r="B12" s="18"/>
      <c r="C12" s="18"/>
    </row>
    <row r="13" spans="1:4" x14ac:dyDescent="0.25">
      <c r="A13" s="18"/>
      <c r="B13" s="18"/>
      <c r="C13" s="18"/>
    </row>
    <row r="14" spans="1:4" x14ac:dyDescent="0.25">
      <c r="A14" s="18"/>
      <c r="B14" s="18"/>
      <c r="C14" s="18"/>
    </row>
    <row r="15" spans="1:4" x14ac:dyDescent="0.25">
      <c r="A15" s="18"/>
      <c r="B15" s="18"/>
      <c r="C15" s="18"/>
    </row>
    <row r="16" spans="1:4" x14ac:dyDescent="0.25">
      <c r="A16" s="18"/>
      <c r="B16" s="18"/>
      <c r="C16" s="18"/>
    </row>
    <row r="17" spans="1:3" x14ac:dyDescent="0.25">
      <c r="A17" s="18"/>
      <c r="B17" s="18"/>
      <c r="C17" s="18"/>
    </row>
    <row r="18" spans="1:3" x14ac:dyDescent="0.25">
      <c r="A18" s="18"/>
      <c r="B18" s="18"/>
      <c r="C18" s="18"/>
    </row>
    <row r="19" spans="1:3" x14ac:dyDescent="0.25">
      <c r="A19" s="18"/>
      <c r="B19" s="18"/>
      <c r="C19" s="18"/>
    </row>
    <row r="20" spans="1:3" x14ac:dyDescent="0.25">
      <c r="A20" s="18"/>
      <c r="B20" s="18"/>
      <c r="C20" s="18"/>
    </row>
    <row r="21" spans="1:3" x14ac:dyDescent="0.25">
      <c r="A21" s="18"/>
      <c r="B21" s="18"/>
      <c r="C21" s="18"/>
    </row>
    <row r="22" spans="1:3" x14ac:dyDescent="0.25">
      <c r="A22" s="18"/>
      <c r="B22" s="18"/>
      <c r="C22" s="18"/>
    </row>
    <row r="23" spans="1:3" x14ac:dyDescent="0.25">
      <c r="A23" s="18"/>
      <c r="B23" s="18"/>
      <c r="C23" s="18"/>
    </row>
    <row r="24" spans="1:3" x14ac:dyDescent="0.25">
      <c r="A24" s="18"/>
      <c r="B24" s="18"/>
      <c r="C24" s="18"/>
    </row>
    <row r="25" spans="1:3" x14ac:dyDescent="0.25">
      <c r="A25" s="18"/>
      <c r="B25" s="18"/>
      <c r="C25" s="18"/>
    </row>
    <row r="26" spans="1:3" x14ac:dyDescent="0.25">
      <c r="A26" s="18"/>
      <c r="B26" s="18"/>
      <c r="C26" s="18"/>
    </row>
    <row r="27" spans="1:3" x14ac:dyDescent="0.25">
      <c r="A27" s="18"/>
      <c r="B27" s="18"/>
      <c r="C27" s="18"/>
    </row>
    <row r="28" spans="1:3" x14ac:dyDescent="0.25">
      <c r="A28" s="18"/>
      <c r="B28" s="18"/>
      <c r="C28" s="18"/>
    </row>
    <row r="29" spans="1:3" x14ac:dyDescent="0.25">
      <c r="A29" s="18"/>
      <c r="B29" s="18"/>
      <c r="C29" s="18"/>
    </row>
    <row r="30" spans="1:3" x14ac:dyDescent="0.25">
      <c r="A30" s="18"/>
      <c r="B30" s="18"/>
      <c r="C30" s="18"/>
    </row>
    <row r="31" spans="1:3" x14ac:dyDescent="0.25">
      <c r="A31" s="18"/>
      <c r="B31" s="18"/>
      <c r="C31" s="18"/>
    </row>
    <row r="32" spans="1:3" ht="12.75" customHeight="1" x14ac:dyDescent="0.25">
      <c r="A32" s="134" t="s">
        <v>166</v>
      </c>
      <c r="B32" s="18"/>
      <c r="C32" s="18"/>
    </row>
    <row r="33" spans="1:3" ht="14.1" customHeight="1" x14ac:dyDescent="0.25">
      <c r="A33" s="135" t="s">
        <v>803</v>
      </c>
      <c r="B33" s="18"/>
      <c r="C33" s="172"/>
    </row>
    <row r="34" spans="1:3" ht="12.75" customHeight="1" x14ac:dyDescent="0.25">
      <c r="A34" s="211" t="s">
        <v>821</v>
      </c>
      <c r="C34" s="127"/>
    </row>
    <row r="35" spans="1:3" ht="15.75" customHeight="1" x14ac:dyDescent="0.25">
      <c r="A35" s="211"/>
      <c r="B35" s="18"/>
      <c r="C35" s="18"/>
    </row>
    <row r="36" spans="1:3" ht="12" customHeight="1" x14ac:dyDescent="0.25">
      <c r="A36" s="211"/>
      <c r="B36" s="18"/>
      <c r="C36" s="18"/>
    </row>
    <row r="37" spans="1:3" ht="12" customHeight="1" x14ac:dyDescent="0.25">
      <c r="A37" s="272" t="s">
        <v>190</v>
      </c>
      <c r="B37" s="272"/>
      <c r="C37" s="18"/>
    </row>
    <row r="38" spans="1:3" ht="12" customHeight="1" x14ac:dyDescent="0.25">
      <c r="A38" s="272" t="s">
        <v>822</v>
      </c>
      <c r="B38" s="272"/>
      <c r="C38" s="18"/>
    </row>
    <row r="39" spans="1:3" x14ac:dyDescent="0.25">
      <c r="A39" s="270" t="s">
        <v>823</v>
      </c>
      <c r="B39" s="271"/>
      <c r="C39" s="18"/>
    </row>
  </sheetData>
  <sheetProtection algorithmName="SHA-512" hashValue="WIXeVa8qnqX6S8xXpXZKyfXJhzX5N411LPYPNV+hlp/u54jNmX/Q2j8IEPUgWM3z+L0MEJjfBBB4NC1wRigEfA==" saltValue="NWWNgTGVFwSLu4b+QVNlKg==" spinCount="100000" sheet="1" objects="1" scenarios="1"/>
  <mergeCells count="4">
    <mergeCell ref="A39:B39"/>
    <mergeCell ref="A37:B37"/>
    <mergeCell ref="A38:B38"/>
    <mergeCell ref="A7:B7"/>
  </mergeCells>
  <hyperlinks>
    <hyperlink ref="A39" r:id="rId1" xr:uid="{2144EC28-C36E-44F7-BB0F-42EBE3A78DFC}"/>
    <hyperlink ref="A34" r:id="rId2" xr:uid="{8309E554-B839-4110-AF87-12716FAF8B7A}"/>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Data!$A$4:$A$88</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764D1-ABC4-4B6C-86C1-F803B6B36F9A}">
  <dimension ref="A1:D84"/>
  <sheetViews>
    <sheetView workbookViewId="0">
      <pane xSplit="2" ySplit="1" topLeftCell="C2" activePane="bottomRight" state="frozen"/>
      <selection pane="topRight" activeCell="C1" sqref="C1"/>
      <selection pane="bottomLeft" activeCell="A2" sqref="A2"/>
      <selection pane="bottomRight" activeCell="H66" sqref="H66"/>
    </sheetView>
  </sheetViews>
  <sheetFormatPr defaultRowHeight="13.2" x14ac:dyDescent="0.25"/>
  <cols>
    <col min="2" max="2" width="47.6640625" bestFit="1" customWidth="1"/>
    <col min="3" max="3" width="16.109375" style="163" bestFit="1" customWidth="1"/>
    <col min="4" max="4" width="15.109375" style="163" bestFit="1" customWidth="1"/>
  </cols>
  <sheetData>
    <row r="1" spans="1:4" ht="26.4" x14ac:dyDescent="0.25">
      <c r="C1" s="267" t="s">
        <v>854</v>
      </c>
      <c r="D1" s="268" t="s">
        <v>817</v>
      </c>
    </row>
    <row r="2" spans="1:4" x14ac:dyDescent="0.25">
      <c r="A2">
        <v>20100</v>
      </c>
      <c r="B2" t="s">
        <v>37</v>
      </c>
      <c r="C2" s="269">
        <f>VLOOKUP(A2,'75 - Summary Exhibit'!$A$3:$N$313,3,0)</f>
        <v>373284226</v>
      </c>
      <c r="D2" s="269">
        <f>VLOOKUP(A2,'75 - Summary Exhibit'!$A$3:$O$314,15,0)</f>
        <v>49994901</v>
      </c>
    </row>
    <row r="3" spans="1:4" x14ac:dyDescent="0.25">
      <c r="A3">
        <v>20300</v>
      </c>
      <c r="B3" t="s">
        <v>39</v>
      </c>
      <c r="C3" s="269">
        <f>VLOOKUP(A3,'75 - Summary Exhibit'!$A$3:$N$313,3,0)</f>
        <v>756845778</v>
      </c>
      <c r="D3" s="269">
        <f>VLOOKUP(A3,'75 - Summary Exhibit'!$A$3:$O$314,15,0)</f>
        <v>128371803</v>
      </c>
    </row>
    <row r="4" spans="1:4" x14ac:dyDescent="0.25">
      <c r="A4">
        <v>20400</v>
      </c>
      <c r="B4" t="s">
        <v>40</v>
      </c>
      <c r="C4" s="269">
        <f>VLOOKUP(A4,'75 - Summary Exhibit'!$A$3:$N$313,3,0)</f>
        <v>42970843</v>
      </c>
      <c r="D4" s="269">
        <f>VLOOKUP(A4,'75 - Summary Exhibit'!$A$3:$O$314,15,0)</f>
        <v>5803428</v>
      </c>
    </row>
    <row r="5" spans="1:4" x14ac:dyDescent="0.25">
      <c r="A5">
        <v>20600</v>
      </c>
      <c r="B5" t="s">
        <v>41</v>
      </c>
      <c r="C5" s="269">
        <f>VLOOKUP(A5,'75 - Summary Exhibit'!$A$3:$N$313,3,0)</f>
        <v>90427201</v>
      </c>
      <c r="D5" s="269">
        <f>VLOOKUP(A5,'75 - Summary Exhibit'!$A$3:$O$314,15,0)</f>
        <v>15338884</v>
      </c>
    </row>
    <row r="6" spans="1:4" x14ac:dyDescent="0.25">
      <c r="A6">
        <v>20800</v>
      </c>
      <c r="B6" t="s">
        <v>43</v>
      </c>
      <c r="C6" s="269">
        <f>VLOOKUP(A6,'75 - Summary Exhibit'!$A$3:$N$313,3,0)</f>
        <v>129998693</v>
      </c>
      <c r="D6" s="269">
        <f>VLOOKUP(A6,'75 - Summary Exhibit'!$A$3:$O$314,15,0)</f>
        <v>25949561</v>
      </c>
    </row>
    <row r="7" spans="1:4" x14ac:dyDescent="0.25">
      <c r="A7">
        <v>10950</v>
      </c>
      <c r="B7" t="s">
        <v>36</v>
      </c>
      <c r="C7" s="269">
        <f>VLOOKUP(A7,'75 - Summary Exhibit'!$A$3:$N$313,3,0)</f>
        <v>36372778</v>
      </c>
      <c r="D7" s="269">
        <f>VLOOKUP(A7,'75 - Summary Exhibit'!$A$3:$O$314,15,0)</f>
        <v>4742268</v>
      </c>
    </row>
    <row r="8" spans="1:4" x14ac:dyDescent="0.25">
      <c r="A8">
        <v>20200</v>
      </c>
      <c r="B8" t="s">
        <v>38</v>
      </c>
      <c r="C8" s="269">
        <f>VLOOKUP(A8,'75 - Summary Exhibit'!$A$3:$N$313,3,0)</f>
        <v>50380921</v>
      </c>
      <c r="D8" s="269">
        <f>VLOOKUP(A8,'75 - Summary Exhibit'!$A$3:$O$314,15,0)</f>
        <v>7557408</v>
      </c>
    </row>
    <row r="9" spans="1:4" x14ac:dyDescent="0.25">
      <c r="A9">
        <v>21300</v>
      </c>
      <c r="B9" t="s">
        <v>46</v>
      </c>
      <c r="C9" s="269">
        <f>VLOOKUP(A9,'75 - Summary Exhibit'!$A$3:$N$313,3,0)</f>
        <v>1312370446</v>
      </c>
      <c r="D9" s="269">
        <f>VLOOKUP(A9,'75 - Summary Exhibit'!$A$3:$O$314,15,0)</f>
        <v>196430513</v>
      </c>
    </row>
    <row r="10" spans="1:4" x14ac:dyDescent="0.25">
      <c r="A10">
        <v>20700</v>
      </c>
      <c r="B10" t="s">
        <v>42</v>
      </c>
      <c r="C10" s="269">
        <f>VLOOKUP(A10,'75 - Summary Exhibit'!$A$3:$N$313,3,0)</f>
        <v>193423305</v>
      </c>
      <c r="D10" s="269">
        <f>VLOOKUP(A10,'75 - Summary Exhibit'!$A$3:$O$314,15,0)</f>
        <v>30595990</v>
      </c>
    </row>
    <row r="11" spans="1:4" x14ac:dyDescent="0.25">
      <c r="A11">
        <v>21200</v>
      </c>
      <c r="B11" t="s">
        <v>45</v>
      </c>
      <c r="C11" s="269">
        <f>VLOOKUP(A11,'75 - Summary Exhibit'!$A$3:$N$313,3,0)</f>
        <v>99895006</v>
      </c>
      <c r="D11" s="269">
        <f>VLOOKUP(A11,'75 - Summary Exhibit'!$A$3:$O$314,15,0)</f>
        <v>18159601</v>
      </c>
    </row>
    <row r="12" spans="1:4" x14ac:dyDescent="0.25">
      <c r="A12">
        <v>21550</v>
      </c>
      <c r="B12" t="s">
        <v>48</v>
      </c>
      <c r="C12" s="269">
        <f>VLOOKUP(A12,'75 - Summary Exhibit'!$A$3:$N$313,3,0)</f>
        <v>1468724001</v>
      </c>
      <c r="D12" s="269">
        <f>VLOOKUP(A12,'75 - Summary Exhibit'!$A$3:$O$314,15,0)</f>
        <v>258602299</v>
      </c>
    </row>
    <row r="13" spans="1:4" x14ac:dyDescent="0.25">
      <c r="A13">
        <v>21520</v>
      </c>
      <c r="B13" t="s">
        <v>47</v>
      </c>
      <c r="C13" s="269">
        <f>VLOOKUP(A13,'75 - Summary Exhibit'!$A$3:$N$313,3,0)</f>
        <v>2531485674</v>
      </c>
      <c r="D13" s="269">
        <f>VLOOKUP(A13,'75 - Summary Exhibit'!$A$3:$O$314,15,0)</f>
        <v>330054044</v>
      </c>
    </row>
    <row r="14" spans="1:4" x14ac:dyDescent="0.25">
      <c r="A14">
        <v>23000</v>
      </c>
      <c r="B14" t="s">
        <v>51</v>
      </c>
      <c r="C14" s="269">
        <f>VLOOKUP(A14,'75 - Summary Exhibit'!$A$3:$N$313,3,0)</f>
        <v>76065256</v>
      </c>
      <c r="D14" s="269">
        <f>VLOOKUP(A14,'75 - Summary Exhibit'!$A$3:$O$314,15,0)</f>
        <v>13446721</v>
      </c>
    </row>
    <row r="15" spans="1:4" x14ac:dyDescent="0.25">
      <c r="A15">
        <v>23100</v>
      </c>
      <c r="B15" t="s">
        <v>52</v>
      </c>
      <c r="C15" s="269">
        <f>VLOOKUP(A15,'75 - Summary Exhibit'!$A$3:$N$313,3,0)</f>
        <v>520637030</v>
      </c>
      <c r="D15" s="269">
        <f>VLOOKUP(A15,'75 - Summary Exhibit'!$A$3:$O$314,15,0)</f>
        <v>75236725</v>
      </c>
    </row>
    <row r="16" spans="1:4" x14ac:dyDescent="0.25">
      <c r="A16">
        <v>20900</v>
      </c>
      <c r="B16" t="s">
        <v>44</v>
      </c>
      <c r="C16" s="269">
        <f>VLOOKUP(A16,'75 - Summary Exhibit'!$A$3:$N$313,3,0)</f>
        <v>313868415</v>
      </c>
      <c r="D16" s="269">
        <f>VLOOKUP(A16,'75 - Summary Exhibit'!$A$3:$O$314,15,0)</f>
        <v>63386259</v>
      </c>
    </row>
    <row r="17" spans="1:4" x14ac:dyDescent="0.25">
      <c r="A17">
        <v>23200</v>
      </c>
      <c r="B17" t="s">
        <v>53</v>
      </c>
      <c r="C17" s="269">
        <f>VLOOKUP(A17,'75 - Summary Exhibit'!$A$3:$N$313,3,0)</f>
        <v>300017846</v>
      </c>
      <c r="D17" s="269">
        <f>VLOOKUP(A17,'75 - Summary Exhibit'!$A$3:$O$314,15,0)</f>
        <v>39880922</v>
      </c>
    </row>
    <row r="18" spans="1:4" x14ac:dyDescent="0.25">
      <c r="A18">
        <v>21800</v>
      </c>
      <c r="B18" t="s">
        <v>49</v>
      </c>
      <c r="C18" s="269">
        <f>VLOOKUP(A18,'75 - Summary Exhibit'!$A$3:$N$313,3,0)</f>
        <v>190095860</v>
      </c>
      <c r="D18" s="269">
        <f>VLOOKUP(A18,'75 - Summary Exhibit'!$A$3:$O$314,15,0)</f>
        <v>29922099</v>
      </c>
    </row>
    <row r="19" spans="1:4" x14ac:dyDescent="0.25">
      <c r="A19">
        <v>21900</v>
      </c>
      <c r="B19" t="s">
        <v>50</v>
      </c>
      <c r="C19" s="269">
        <f>VLOOKUP(A19,'75 - Summary Exhibit'!$A$3:$N$313,3,0)</f>
        <v>84055524</v>
      </c>
      <c r="D19" s="269">
        <f>VLOOKUP(A19,'75 - Summary Exhibit'!$A$3:$O$314,15,0)</f>
        <v>16635040</v>
      </c>
    </row>
    <row r="20" spans="1:4" x14ac:dyDescent="0.25">
      <c r="A20">
        <v>30105</v>
      </c>
      <c r="B20" t="s">
        <v>54</v>
      </c>
      <c r="C20" s="269">
        <f>VLOOKUP(A20,'75 - Summary Exhibit'!$A$3:$N$313,3,0)</f>
        <v>24599272</v>
      </c>
      <c r="D20" s="269">
        <f>VLOOKUP(A20,'75 - Summary Exhibit'!$A$3:$O$314,15,0)</f>
        <v>3772204</v>
      </c>
    </row>
    <row r="21" spans="1:4" x14ac:dyDescent="0.25">
      <c r="A21">
        <v>31105</v>
      </c>
      <c r="B21" t="s">
        <v>59</v>
      </c>
      <c r="C21" s="269">
        <f>VLOOKUP(A21,'75 - Summary Exhibit'!$A$3:$N$313,3,0)</f>
        <v>43245317</v>
      </c>
      <c r="D21" s="269">
        <f>VLOOKUP(A21,'75 - Summary Exhibit'!$A$3:$O$314,15,0)</f>
        <v>6341821</v>
      </c>
    </row>
    <row r="22" spans="1:4" x14ac:dyDescent="0.25">
      <c r="A22">
        <v>30705</v>
      </c>
      <c r="B22" t="s">
        <v>56</v>
      </c>
      <c r="C22" s="269">
        <f>VLOOKUP(A22,'75 - Summary Exhibit'!$A$3:$N$313,3,0)</f>
        <v>14924391</v>
      </c>
      <c r="D22" s="269">
        <f>VLOOKUP(A22,'75 - Summary Exhibit'!$A$3:$O$314,15,0)</f>
        <v>1993519</v>
      </c>
    </row>
    <row r="23" spans="1:4" x14ac:dyDescent="0.25">
      <c r="A23">
        <v>30905</v>
      </c>
      <c r="B23" t="s">
        <v>57</v>
      </c>
      <c r="C23" s="269">
        <f>VLOOKUP(A23,'75 - Summary Exhibit'!$A$3:$N$313,3,0)</f>
        <v>8097231</v>
      </c>
      <c r="D23" s="269">
        <f>VLOOKUP(A23,'75 - Summary Exhibit'!$A$3:$O$314,15,0)</f>
        <v>1449532</v>
      </c>
    </row>
    <row r="24" spans="1:4" x14ac:dyDescent="0.25">
      <c r="A24">
        <v>34505</v>
      </c>
      <c r="B24" t="s">
        <v>78</v>
      </c>
      <c r="C24" s="269">
        <f>VLOOKUP(A24,'75 - Summary Exhibit'!$A$3:$N$313,3,0)</f>
        <v>20256572</v>
      </c>
      <c r="D24" s="269">
        <f>VLOOKUP(A24,'75 - Summary Exhibit'!$A$3:$O$314,15,0)</f>
        <v>2641043</v>
      </c>
    </row>
    <row r="25" spans="1:4" x14ac:dyDescent="0.25">
      <c r="A25">
        <v>31005</v>
      </c>
      <c r="B25" t="s">
        <v>58</v>
      </c>
      <c r="C25" s="269">
        <f>VLOOKUP(A25,'75 - Summary Exhibit'!$A$3:$N$313,3,0)</f>
        <v>13646246</v>
      </c>
      <c r="D25" s="269">
        <f>VLOOKUP(A25,'75 - Summary Exhibit'!$A$3:$O$314,15,0)</f>
        <v>1877473</v>
      </c>
    </row>
    <row r="26" spans="1:4" x14ac:dyDescent="0.25">
      <c r="A26">
        <v>31405</v>
      </c>
      <c r="B26" t="s">
        <v>61</v>
      </c>
      <c r="C26" s="269">
        <f>VLOOKUP(A26,'75 - Summary Exhibit'!$A$3:$N$313,3,0)</f>
        <v>27599734</v>
      </c>
      <c r="D26" s="269">
        <f>VLOOKUP(A26,'75 - Summary Exhibit'!$A$3:$O$314,15,0)</f>
        <v>3872784</v>
      </c>
    </row>
    <row r="27" spans="1:4" x14ac:dyDescent="0.25">
      <c r="A27">
        <v>36505</v>
      </c>
      <c r="B27" t="s">
        <v>92</v>
      </c>
      <c r="C27" s="269">
        <f>VLOOKUP(A27,'75 - Summary Exhibit'!$A$3:$N$313,3,0)</f>
        <v>60889501</v>
      </c>
      <c r="D27" s="269">
        <f>VLOOKUP(A27,'75 - Summary Exhibit'!$A$3:$O$314,15,0)</f>
        <v>9589562</v>
      </c>
    </row>
    <row r="28" spans="1:4" x14ac:dyDescent="0.25">
      <c r="A28">
        <v>31605</v>
      </c>
      <c r="B28" t="s">
        <v>62</v>
      </c>
      <c r="C28" s="269">
        <f>VLOOKUP(A28,'75 - Summary Exhibit'!$A$3:$N$313,3,0)</f>
        <v>14827125</v>
      </c>
      <c r="D28" s="269">
        <f>VLOOKUP(A28,'75 - Summary Exhibit'!$A$3:$O$314,15,0)</f>
        <v>1933154</v>
      </c>
    </row>
    <row r="29" spans="1:4" x14ac:dyDescent="0.25">
      <c r="A29">
        <v>31805</v>
      </c>
      <c r="B29" t="s">
        <v>63</v>
      </c>
      <c r="C29" s="269">
        <f>VLOOKUP(A29,'75 - Summary Exhibit'!$A$3:$N$313,3,0)</f>
        <v>34390592</v>
      </c>
      <c r="D29" s="269">
        <f>VLOOKUP(A29,'75 - Summary Exhibit'!$A$3:$O$314,15,0)</f>
        <v>7274607</v>
      </c>
    </row>
    <row r="30" spans="1:4" x14ac:dyDescent="0.25">
      <c r="A30">
        <v>35305</v>
      </c>
      <c r="B30" t="s">
        <v>83</v>
      </c>
      <c r="C30" s="269">
        <f>VLOOKUP(A30,'75 - Summary Exhibit'!$A$3:$N$313,3,0)</f>
        <v>45986508</v>
      </c>
      <c r="D30" s="269">
        <f>VLOOKUP(A30,'75 - Summary Exhibit'!$A$3:$O$314,15,0)</f>
        <v>7071529</v>
      </c>
    </row>
    <row r="31" spans="1:4" x14ac:dyDescent="0.25">
      <c r="A31">
        <v>36005</v>
      </c>
      <c r="B31" t="s">
        <v>87</v>
      </c>
      <c r="C31" s="269">
        <f>VLOOKUP(A31,'75 - Summary Exhibit'!$A$3:$N$313,3,0)</f>
        <v>125595957</v>
      </c>
      <c r="D31" s="269">
        <f>VLOOKUP(A31,'75 - Summary Exhibit'!$A$3:$O$314,15,0)</f>
        <v>22282760</v>
      </c>
    </row>
    <row r="32" spans="1:4" x14ac:dyDescent="0.25">
      <c r="A32">
        <v>32305</v>
      </c>
      <c r="B32" t="s">
        <v>65</v>
      </c>
      <c r="C32" s="269">
        <f>VLOOKUP(A32,'75 - Summary Exhibit'!$A$3:$N$313,3,0)</f>
        <v>21095850</v>
      </c>
      <c r="D32" s="269">
        <f>VLOOKUP(A32,'75 - Summary Exhibit'!$A$3:$O$314,15,0)</f>
        <v>2987081</v>
      </c>
    </row>
    <row r="33" spans="1:4" x14ac:dyDescent="0.25">
      <c r="A33">
        <v>36705</v>
      </c>
      <c r="B33" t="s">
        <v>93</v>
      </c>
      <c r="C33" s="269">
        <f>VLOOKUP(A33,'75 - Summary Exhibit'!$A$3:$N$313,3,0)</f>
        <v>25984625</v>
      </c>
      <c r="D33" s="269">
        <f>VLOOKUP(A33,'75 - Summary Exhibit'!$A$3:$O$314,15,0)</f>
        <v>7566121</v>
      </c>
    </row>
    <row r="34" spans="1:4" x14ac:dyDescent="0.25">
      <c r="A34">
        <v>37005</v>
      </c>
      <c r="B34" t="s">
        <v>95</v>
      </c>
      <c r="C34" s="269">
        <f>VLOOKUP(A34,'75 - Summary Exhibit'!$A$3:$N$313,3,0)</f>
        <v>17078480</v>
      </c>
      <c r="D34" s="269">
        <f>VLOOKUP(A34,'75 - Summary Exhibit'!$A$3:$O$314,15,0)</f>
        <v>2226685</v>
      </c>
    </row>
    <row r="35" spans="1:4" x14ac:dyDescent="0.25">
      <c r="A35">
        <v>32505</v>
      </c>
      <c r="B35" t="s">
        <v>67</v>
      </c>
      <c r="C35" s="269">
        <f>VLOOKUP(A35,'75 - Summary Exhibit'!$A$3:$N$313,3,0)</f>
        <v>22670102</v>
      </c>
      <c r="D35" s="269">
        <f>VLOOKUP(A35,'75 - Summary Exhibit'!$A$3:$O$314,15,0)</f>
        <v>3036413</v>
      </c>
    </row>
    <row r="36" spans="1:4" x14ac:dyDescent="0.25">
      <c r="A36">
        <v>32905</v>
      </c>
      <c r="B36" t="s">
        <v>69</v>
      </c>
      <c r="C36" s="269">
        <f>VLOOKUP(A36,'75 - Summary Exhibit'!$A$3:$N$313,3,0)</f>
        <v>26775704</v>
      </c>
      <c r="D36" s="269">
        <f>VLOOKUP(A36,'75 - Summary Exhibit'!$A$3:$O$314,15,0)</f>
        <v>3491005</v>
      </c>
    </row>
    <row r="37" spans="1:4" x14ac:dyDescent="0.25">
      <c r="A37">
        <v>33205</v>
      </c>
      <c r="B37" t="s">
        <v>71</v>
      </c>
      <c r="C37" s="269">
        <f>VLOOKUP(A37,'75 - Summary Exhibit'!$A$3:$N$313,3,0)</f>
        <v>40219928</v>
      </c>
      <c r="D37" s="269">
        <f>VLOOKUP(A37,'75 - Summary Exhibit'!$A$3:$O$314,15,0)</f>
        <v>5583112</v>
      </c>
    </row>
    <row r="38" spans="1:4" x14ac:dyDescent="0.25">
      <c r="A38">
        <v>33305</v>
      </c>
      <c r="B38" t="s">
        <v>72</v>
      </c>
      <c r="C38" s="269">
        <f>VLOOKUP(A38,'75 - Summary Exhibit'!$A$3:$N$313,3,0)</f>
        <v>13473897</v>
      </c>
      <c r="D38" s="269">
        <f>VLOOKUP(A38,'75 - Summary Exhibit'!$A$3:$O$314,15,0)</f>
        <v>2699141</v>
      </c>
    </row>
    <row r="39" spans="1:4" x14ac:dyDescent="0.25">
      <c r="A39">
        <v>32605</v>
      </c>
      <c r="B39" t="s">
        <v>68</v>
      </c>
      <c r="C39" s="269">
        <f>VLOOKUP(A39,'75 - Summary Exhibit'!$A$3:$N$313,3,0)</f>
        <v>88979935</v>
      </c>
      <c r="D39" s="269">
        <f>VLOOKUP(A39,'75 - Summary Exhibit'!$A$3:$O$314,15,0)</f>
        <v>11871643</v>
      </c>
    </row>
    <row r="40" spans="1:4" x14ac:dyDescent="0.25">
      <c r="A40">
        <v>33405</v>
      </c>
      <c r="B40" t="s">
        <v>73</v>
      </c>
      <c r="C40" s="269">
        <f>VLOOKUP(A40,'75 - Summary Exhibit'!$A$3:$N$313,3,0)</f>
        <v>59421181</v>
      </c>
      <c r="D40" s="269">
        <f>VLOOKUP(A40,'75 - Summary Exhibit'!$A$3:$O$314,15,0)</f>
        <v>7895597</v>
      </c>
    </row>
    <row r="41" spans="1:4" x14ac:dyDescent="0.25">
      <c r="A41">
        <v>33605</v>
      </c>
      <c r="B41" t="s">
        <v>74</v>
      </c>
      <c r="C41" s="269">
        <f>VLOOKUP(A41,'75 - Summary Exhibit'!$A$3:$N$313,3,0)</f>
        <v>37390312</v>
      </c>
      <c r="D41" s="269">
        <f>VLOOKUP(A41,'75 - Summary Exhibit'!$A$3:$O$314,15,0)</f>
        <v>5749512</v>
      </c>
    </row>
    <row r="42" spans="1:4" x14ac:dyDescent="0.25">
      <c r="A42">
        <v>34105</v>
      </c>
      <c r="B42" t="s">
        <v>75</v>
      </c>
      <c r="C42" s="269">
        <f>VLOOKUP(A42,'75 - Summary Exhibit'!$A$3:$N$313,3,0)</f>
        <v>60777682</v>
      </c>
      <c r="D42" s="269">
        <f>VLOOKUP(A42,'75 - Summary Exhibit'!$A$3:$O$314,15,0)</f>
        <v>9334225</v>
      </c>
    </row>
    <row r="43" spans="1:4" x14ac:dyDescent="0.25">
      <c r="A43">
        <v>34205</v>
      </c>
      <c r="B43" t="s">
        <v>76</v>
      </c>
      <c r="C43" s="269">
        <f>VLOOKUP(A43,'75 - Summary Exhibit'!$A$3:$N$313,3,0)</f>
        <v>9892776</v>
      </c>
      <c r="D43" s="269">
        <f>VLOOKUP(A43,'75 - Summary Exhibit'!$A$3:$O$314,15,0)</f>
        <v>2721238</v>
      </c>
    </row>
    <row r="44" spans="1:4" x14ac:dyDescent="0.25">
      <c r="A44">
        <v>34405</v>
      </c>
      <c r="B44" t="s">
        <v>77</v>
      </c>
      <c r="C44" s="269">
        <f>VLOOKUP(A44,'75 - Summary Exhibit'!$A$3:$N$313,3,0)</f>
        <v>13768136</v>
      </c>
      <c r="D44" s="269">
        <f>VLOOKUP(A44,'75 - Summary Exhibit'!$A$3:$O$314,15,0)</f>
        <v>3053061</v>
      </c>
    </row>
    <row r="45" spans="1:4" x14ac:dyDescent="0.25">
      <c r="A45">
        <v>38105</v>
      </c>
      <c r="B45" t="s">
        <v>103</v>
      </c>
      <c r="C45" s="269">
        <f>VLOOKUP(A45,'75 - Summary Exhibit'!$A$3:$N$313,3,0)</f>
        <v>18557470</v>
      </c>
      <c r="D45" s="269">
        <f>VLOOKUP(A45,'75 - Summary Exhibit'!$A$3:$O$314,15,0)</f>
        <v>2687902</v>
      </c>
    </row>
    <row r="46" spans="1:4" x14ac:dyDescent="0.25">
      <c r="A46">
        <v>33105</v>
      </c>
      <c r="B46" t="s">
        <v>70</v>
      </c>
      <c r="C46" s="269">
        <f>VLOOKUP(A46,'75 - Summary Exhibit'!$A$3:$N$313,3,0)</f>
        <v>11927647</v>
      </c>
      <c r="D46" s="269">
        <f>VLOOKUP(A46,'75 - Summary Exhibit'!$A$3:$O$314,15,0)</f>
        <v>2004190</v>
      </c>
    </row>
    <row r="47" spans="1:4" x14ac:dyDescent="0.25">
      <c r="A47">
        <v>35105</v>
      </c>
      <c r="B47" t="s">
        <v>82</v>
      </c>
      <c r="C47" s="269">
        <f>VLOOKUP(A47,'75 - Summary Exhibit'!$A$3:$N$313,3,0)</f>
        <v>34374732</v>
      </c>
      <c r="D47" s="269">
        <f>VLOOKUP(A47,'75 - Summary Exhibit'!$A$3:$O$314,15,0)</f>
        <v>5365369</v>
      </c>
    </row>
    <row r="48" spans="1:4" x14ac:dyDescent="0.25">
      <c r="A48">
        <v>35405</v>
      </c>
      <c r="B48" t="s">
        <v>84</v>
      </c>
      <c r="C48" s="269">
        <f>VLOOKUP(A48,'75 - Summary Exhibit'!$A$3:$N$313,3,0)</f>
        <v>25293408</v>
      </c>
      <c r="D48" s="269">
        <f>VLOOKUP(A48,'75 - Summary Exhibit'!$A$3:$O$314,15,0)</f>
        <v>4856273</v>
      </c>
    </row>
    <row r="49" spans="1:4" x14ac:dyDescent="0.25">
      <c r="A49">
        <v>35805</v>
      </c>
      <c r="B49" t="s">
        <v>85</v>
      </c>
      <c r="C49" s="269">
        <f>VLOOKUP(A49,'75 - Summary Exhibit'!$A$3:$N$313,3,0)</f>
        <v>7155433</v>
      </c>
      <c r="D49" s="269">
        <f>VLOOKUP(A49,'75 - Summary Exhibit'!$A$3:$O$314,15,0)</f>
        <v>1286037</v>
      </c>
    </row>
    <row r="50" spans="1:4" x14ac:dyDescent="0.25">
      <c r="A50">
        <v>36105</v>
      </c>
      <c r="B50" t="s">
        <v>88</v>
      </c>
      <c r="C50" s="269">
        <f>VLOOKUP(A50,'75 - Summary Exhibit'!$A$3:$N$313,3,0)</f>
        <v>9476969</v>
      </c>
      <c r="D50" s="269">
        <f>VLOOKUP(A50,'75 - Summary Exhibit'!$A$3:$O$314,15,0)</f>
        <v>1974017</v>
      </c>
    </row>
    <row r="51" spans="1:4" x14ac:dyDescent="0.25">
      <c r="A51">
        <v>35905</v>
      </c>
      <c r="B51" t="s">
        <v>86</v>
      </c>
      <c r="C51" s="269">
        <f>VLOOKUP(A51,'75 - Summary Exhibit'!$A$3:$N$313,3,0)</f>
        <v>10578300</v>
      </c>
      <c r="D51" s="269">
        <f>VLOOKUP(A51,'75 - Summary Exhibit'!$A$3:$O$314,15,0)</f>
        <v>1545371</v>
      </c>
    </row>
    <row r="52" spans="1:4" x14ac:dyDescent="0.25">
      <c r="A52">
        <v>34905</v>
      </c>
      <c r="B52" t="s">
        <v>80</v>
      </c>
      <c r="C52" s="269">
        <f>VLOOKUP(A52,'75 - Summary Exhibit'!$A$3:$N$313,3,0)</f>
        <v>19772454</v>
      </c>
      <c r="D52" s="269">
        <f>VLOOKUP(A52,'75 - Summary Exhibit'!$A$3:$O$314,15,0)</f>
        <v>3183306</v>
      </c>
    </row>
    <row r="53" spans="1:4" x14ac:dyDescent="0.25">
      <c r="A53">
        <v>36205</v>
      </c>
      <c r="B53" t="s">
        <v>89</v>
      </c>
      <c r="C53" s="269">
        <f>VLOOKUP(A53,'75 - Summary Exhibit'!$A$3:$N$313,3,0)</f>
        <v>8649871</v>
      </c>
      <c r="D53" s="269">
        <f>VLOOKUP(A53,'75 - Summary Exhibit'!$A$3:$O$314,15,0)</f>
        <v>1578369</v>
      </c>
    </row>
    <row r="54" spans="1:4" x14ac:dyDescent="0.25">
      <c r="A54">
        <v>36405</v>
      </c>
      <c r="B54" t="s">
        <v>91</v>
      </c>
      <c r="C54" s="269">
        <f>VLOOKUP(A54,'75 - Summary Exhibit'!$A$3:$N$313,3,0)</f>
        <v>19859740</v>
      </c>
      <c r="D54" s="269">
        <f>VLOOKUP(A54,'75 - Summary Exhibit'!$A$3:$O$314,15,0)</f>
        <v>5247225</v>
      </c>
    </row>
    <row r="55" spans="1:4" x14ac:dyDescent="0.25">
      <c r="A55">
        <v>36905</v>
      </c>
      <c r="B55" t="s">
        <v>94</v>
      </c>
      <c r="C55" s="269">
        <f>VLOOKUP(A55,'75 - Summary Exhibit'!$A$3:$N$313,3,0)</f>
        <v>5746349</v>
      </c>
      <c r="D55" s="269">
        <f>VLOOKUP(A55,'75 - Summary Exhibit'!$A$3:$O$314,15,0)</f>
        <v>1327180</v>
      </c>
    </row>
    <row r="56" spans="1:4" x14ac:dyDescent="0.25">
      <c r="A56">
        <v>37305</v>
      </c>
      <c r="B56" t="s">
        <v>96</v>
      </c>
      <c r="C56" s="269">
        <f>VLOOKUP(A56,'75 - Summary Exhibit'!$A$3:$N$313,3,0)</f>
        <v>11262868</v>
      </c>
      <c r="D56" s="269">
        <f>VLOOKUP(A56,'75 - Summary Exhibit'!$A$3:$O$314,15,0)</f>
        <v>2648511</v>
      </c>
    </row>
    <row r="57" spans="1:4" x14ac:dyDescent="0.25">
      <c r="A57">
        <v>37405</v>
      </c>
      <c r="B57" t="s">
        <v>97</v>
      </c>
      <c r="C57" s="269">
        <f>VLOOKUP(A57,'75 - Summary Exhibit'!$A$3:$N$313,3,0)</f>
        <v>53389055</v>
      </c>
      <c r="D57" s="269">
        <f>VLOOKUP(A57,'75 - Summary Exhibit'!$A$3:$O$314,15,0)</f>
        <v>8397457</v>
      </c>
    </row>
    <row r="58" spans="1:4" x14ac:dyDescent="0.25">
      <c r="A58">
        <v>37605</v>
      </c>
      <c r="B58" t="s">
        <v>98</v>
      </c>
      <c r="C58" s="269">
        <f>VLOOKUP(A58,'75 - Summary Exhibit'!$A$3:$N$313,3,0)</f>
        <v>22394627</v>
      </c>
      <c r="D58" s="269">
        <f>VLOOKUP(A58,'75 - Summary Exhibit'!$A$3:$O$314,15,0)</f>
        <v>3323269</v>
      </c>
    </row>
    <row r="59" spans="1:4" x14ac:dyDescent="0.25">
      <c r="A59">
        <v>37705</v>
      </c>
      <c r="B59" t="s">
        <v>99</v>
      </c>
      <c r="C59" s="269">
        <f>VLOOKUP(A59,'75 - Summary Exhibit'!$A$3:$N$313,3,0)</f>
        <v>20027898</v>
      </c>
      <c r="D59" s="269">
        <f>VLOOKUP(A59,'75 - Summary Exhibit'!$A$3:$O$314,15,0)</f>
        <v>4558477</v>
      </c>
    </row>
    <row r="60" spans="1:4" x14ac:dyDescent="0.25">
      <c r="A60">
        <v>34605</v>
      </c>
      <c r="B60" t="s">
        <v>79</v>
      </c>
      <c r="C60" s="269">
        <f>VLOOKUP(A60,'75 - Summary Exhibit'!$A$3:$N$313,3,0)</f>
        <v>5298281</v>
      </c>
      <c r="D60" s="269">
        <f>VLOOKUP(A60,'75 - Summary Exhibit'!$A$3:$O$314,15,0)</f>
        <v>1074987</v>
      </c>
    </row>
    <row r="61" spans="1:4" x14ac:dyDescent="0.25">
      <c r="A61">
        <v>37805</v>
      </c>
      <c r="B61" t="s">
        <v>100</v>
      </c>
      <c r="C61" s="269">
        <f>VLOOKUP(A61,'75 - Summary Exhibit'!$A$3:$N$313,3,0)</f>
        <v>19020051</v>
      </c>
      <c r="D61" s="269">
        <f>VLOOKUP(A61,'75 - Summary Exhibit'!$A$3:$O$314,15,0)</f>
        <v>2479826</v>
      </c>
    </row>
    <row r="62" spans="1:4" x14ac:dyDescent="0.25">
      <c r="A62">
        <v>37905</v>
      </c>
      <c r="B62" t="s">
        <v>101</v>
      </c>
      <c r="C62" s="269">
        <f>VLOOKUP(A62,'75 - Summary Exhibit'!$A$3:$N$313,3,0)</f>
        <v>13354781</v>
      </c>
      <c r="D62" s="269">
        <f>VLOOKUP(A62,'75 - Summary Exhibit'!$A$3:$O$314,15,0)</f>
        <v>2029988</v>
      </c>
    </row>
    <row r="63" spans="1:4" x14ac:dyDescent="0.25">
      <c r="A63">
        <v>38005</v>
      </c>
      <c r="B63" t="s">
        <v>102</v>
      </c>
      <c r="C63" s="269">
        <f>VLOOKUP(A63,'75 - Summary Exhibit'!$A$3:$N$313,3,0)</f>
        <v>47480915</v>
      </c>
      <c r="D63" s="269">
        <f>VLOOKUP(A63,'75 - Summary Exhibit'!$A$3:$O$314,15,0)</f>
        <v>6190542</v>
      </c>
    </row>
    <row r="64" spans="1:4" x14ac:dyDescent="0.25">
      <c r="A64">
        <v>38205</v>
      </c>
      <c r="B64" t="s">
        <v>104</v>
      </c>
      <c r="C64" s="269">
        <f>VLOOKUP(A64,'75 - Summary Exhibit'!$A$3:$N$313,3,0)</f>
        <v>12927372</v>
      </c>
      <c r="D64" s="269">
        <f>VLOOKUP(A64,'75 - Summary Exhibit'!$A$3:$O$314,15,0)</f>
        <v>2035929</v>
      </c>
    </row>
    <row r="65" spans="1:4" x14ac:dyDescent="0.25">
      <c r="A65">
        <v>36305</v>
      </c>
      <c r="B65" t="s">
        <v>90</v>
      </c>
      <c r="C65" s="269">
        <f>VLOOKUP(A65,'75 - Summary Exhibit'!$A$3:$N$313,3,0)</f>
        <v>29834323</v>
      </c>
      <c r="D65" s="269">
        <f>VLOOKUP(A65,'75 - Summary Exhibit'!$A$3:$O$314,15,0)</f>
        <v>3932678</v>
      </c>
    </row>
    <row r="66" spans="1:4" x14ac:dyDescent="0.25">
      <c r="A66">
        <v>30405</v>
      </c>
      <c r="B66" t="s">
        <v>55</v>
      </c>
      <c r="C66" s="269">
        <f>VLOOKUP(A66,'75 - Summary Exhibit'!$A$3:$N$313,3,0)</f>
        <v>20619524</v>
      </c>
      <c r="D66" s="269">
        <f>VLOOKUP(A66,'75 - Summary Exhibit'!$A$3:$O$314,15,0)</f>
        <v>2924059</v>
      </c>
    </row>
    <row r="67" spans="1:4" x14ac:dyDescent="0.25">
      <c r="A67">
        <v>32405</v>
      </c>
      <c r="B67" t="s">
        <v>66</v>
      </c>
      <c r="C67" s="269">
        <f>VLOOKUP(A67,'75 - Summary Exhibit'!$A$3:$N$313,3,0)</f>
        <v>14452014</v>
      </c>
      <c r="D67" s="269">
        <f>VLOOKUP(A67,'75 - Summary Exhibit'!$A$3:$O$314,15,0)</f>
        <v>2621986</v>
      </c>
    </row>
    <row r="68" spans="1:4" x14ac:dyDescent="0.25">
      <c r="A68">
        <v>35005</v>
      </c>
      <c r="B68" t="s">
        <v>81</v>
      </c>
      <c r="C68" s="269">
        <f>VLOOKUP(A68,'75 - Summary Exhibit'!$A$3:$N$313,3,0)</f>
        <v>16039480</v>
      </c>
      <c r="D68" s="269">
        <f>VLOOKUP(A68,'75 - Summary Exhibit'!$A$3:$O$314,15,0)</f>
        <v>3623392</v>
      </c>
    </row>
    <row r="69" spans="1:4" x14ac:dyDescent="0.25">
      <c r="A69">
        <v>38405</v>
      </c>
      <c r="B69" t="s">
        <v>105</v>
      </c>
      <c r="C69" s="269">
        <f>VLOOKUP(A69,'75 - Summary Exhibit'!$A$3:$N$313,3,0)</f>
        <v>20959255</v>
      </c>
      <c r="D69" s="269">
        <f>VLOOKUP(A69,'75 - Summary Exhibit'!$A$3:$O$314,15,0)</f>
        <v>3347373</v>
      </c>
    </row>
    <row r="70" spans="1:4" x14ac:dyDescent="0.25">
      <c r="A70">
        <v>38605</v>
      </c>
      <c r="B70" t="s">
        <v>106</v>
      </c>
      <c r="C70" s="269">
        <f>VLOOKUP(A70,'75 - Summary Exhibit'!$A$3:$N$313,3,0)</f>
        <v>20500690</v>
      </c>
      <c r="D70" s="269">
        <f>VLOOKUP(A70,'75 - Summary Exhibit'!$A$3:$O$314,15,0)</f>
        <v>4163589</v>
      </c>
    </row>
    <row r="71" spans="1:4" x14ac:dyDescent="0.25">
      <c r="A71">
        <v>32005</v>
      </c>
      <c r="B71" t="s">
        <v>64</v>
      </c>
      <c r="C71" s="269">
        <f>VLOOKUP(A71,'75 - Summary Exhibit'!$A$3:$N$313,3,0)</f>
        <v>11239232</v>
      </c>
      <c r="D71" s="269">
        <f>VLOOKUP(A71,'75 - Summary Exhibit'!$A$3:$O$314,15,0)</f>
        <v>1541323</v>
      </c>
    </row>
    <row r="72" spans="1:4" x14ac:dyDescent="0.25">
      <c r="A72">
        <v>39105</v>
      </c>
      <c r="B72" t="s">
        <v>107</v>
      </c>
      <c r="C72" s="269">
        <f>VLOOKUP(A72,'75 - Summary Exhibit'!$A$3:$N$313,3,0)</f>
        <v>21918512</v>
      </c>
      <c r="D72" s="269">
        <f>VLOOKUP(A72,'75 - Summary Exhibit'!$A$3:$O$314,15,0)</f>
        <v>3825245</v>
      </c>
    </row>
    <row r="73" spans="1:4" x14ac:dyDescent="0.25">
      <c r="A73">
        <v>39205</v>
      </c>
      <c r="B73" t="s">
        <v>108</v>
      </c>
      <c r="C73" s="269">
        <f>VLOOKUP(A73,'75 - Summary Exhibit'!$A$3:$N$313,3,0)</f>
        <v>173371077</v>
      </c>
      <c r="D73" s="269">
        <f>VLOOKUP(A73,'75 - Summary Exhibit'!$A$3:$O$314,15,0)</f>
        <v>23990355</v>
      </c>
    </row>
    <row r="74" spans="1:4" x14ac:dyDescent="0.25">
      <c r="A74">
        <v>39605</v>
      </c>
      <c r="B74" t="s">
        <v>109</v>
      </c>
      <c r="C74" s="269">
        <f>VLOOKUP(A74,'75 - Summary Exhibit'!$A$3:$N$313,3,0)</f>
        <v>24610507</v>
      </c>
      <c r="D74" s="269">
        <f>VLOOKUP(A74,'75 - Summary Exhibit'!$A$3:$O$314,15,0)</f>
        <v>5401263</v>
      </c>
    </row>
    <row r="75" spans="1:4" x14ac:dyDescent="0.25">
      <c r="A75">
        <v>31205</v>
      </c>
      <c r="B75" t="s">
        <v>60</v>
      </c>
      <c r="C75" s="269">
        <f>VLOOKUP(A75,'75 - Summary Exhibit'!$A$3:$N$313,3,0)</f>
        <v>13617280</v>
      </c>
      <c r="D75" s="269">
        <f>VLOOKUP(A75,'75 - Summary Exhibit'!$A$3:$O$314,15,0)</f>
        <v>2056271</v>
      </c>
    </row>
    <row r="76" spans="1:4" x14ac:dyDescent="0.25">
      <c r="A76">
        <v>39705</v>
      </c>
      <c r="B76" t="s">
        <v>110</v>
      </c>
      <c r="C76" s="269">
        <f>VLOOKUP(A76,'75 - Summary Exhibit'!$A$3:$N$313,3,0)</f>
        <v>28277737</v>
      </c>
      <c r="D76" s="269">
        <f>VLOOKUP(A76,'75 - Summary Exhibit'!$A$3:$O$314,15,0)</f>
        <v>3764818</v>
      </c>
    </row>
    <row r="77" spans="1:4" x14ac:dyDescent="0.25">
      <c r="A77">
        <v>39805</v>
      </c>
      <c r="B77" t="s">
        <v>111</v>
      </c>
      <c r="C77" s="269">
        <f>VLOOKUP(A77,'75 - Summary Exhibit'!$A$3:$N$313,3,0)</f>
        <v>14303964</v>
      </c>
      <c r="D77" s="269">
        <f>VLOOKUP(A77,'75 - Summary Exhibit'!$A$3:$O$314,15,0)</f>
        <v>2200461</v>
      </c>
    </row>
    <row r="78" spans="1:4" ht="13.8" x14ac:dyDescent="0.25">
      <c r="A78">
        <v>11310</v>
      </c>
      <c r="B78" s="221" t="s">
        <v>432</v>
      </c>
      <c r="C78" s="269">
        <f>VLOOKUP(A78,'75 - Summary Exhibit'!$A$3:$N$313,3,0)</f>
        <v>17442632</v>
      </c>
      <c r="D78" s="269">
        <f>VLOOKUP(A78,'75 - Summary Exhibit'!$A$3:$O$314,15,0)</f>
        <v>2489233</v>
      </c>
    </row>
    <row r="79" spans="1:4" x14ac:dyDescent="0.25">
      <c r="A79">
        <v>14300.2</v>
      </c>
      <c r="B79" s="137" t="s">
        <v>167</v>
      </c>
      <c r="C79" s="269">
        <f>VLOOKUP(A79,'75 - Summary Exhibit'!$A$3:$N$313,3,0)</f>
        <v>5339619</v>
      </c>
      <c r="D79" s="269">
        <f>VLOOKUP(A79,'75 - Summary Exhibit'!$A$3:$O$314,15,0)</f>
        <v>1447703</v>
      </c>
    </row>
    <row r="80" spans="1:4" x14ac:dyDescent="0.25">
      <c r="A80">
        <v>21525</v>
      </c>
      <c r="B80" s="137" t="s">
        <v>424</v>
      </c>
      <c r="C80" s="269">
        <f>VLOOKUP(A80,'75 - Summary Exhibit'!$A$3:$N$313,3,0)</f>
        <v>65271163</v>
      </c>
      <c r="D80" s="269">
        <f>VLOOKUP(A80,'75 - Summary Exhibit'!$A$3:$O$314,15,0)</f>
        <v>9122462</v>
      </c>
    </row>
    <row r="81" spans="1:4" x14ac:dyDescent="0.25">
      <c r="A81">
        <v>21525.200000000001</v>
      </c>
      <c r="B81" s="137" t="s">
        <v>161</v>
      </c>
      <c r="C81" s="269">
        <f>VLOOKUP(A81,'75 - Summary Exhibit'!$A$3:$N$313,3,0)</f>
        <v>7127447</v>
      </c>
      <c r="D81" s="269">
        <f>VLOOKUP(A81,'75 - Summary Exhibit'!$A$3:$O$314,15,0)</f>
        <v>929274</v>
      </c>
    </row>
    <row r="82" spans="1:4" x14ac:dyDescent="0.25">
      <c r="A82">
        <v>51000.2</v>
      </c>
      <c r="B82" s="137" t="s">
        <v>169</v>
      </c>
      <c r="C82" s="269">
        <f>VLOOKUP(A82,'75 - Summary Exhibit'!$A$3:$N$313,3,0)</f>
        <v>1562256</v>
      </c>
      <c r="D82" s="269">
        <f>VLOOKUP(A82,'75 - Summary Exhibit'!$A$3:$O$314,15,0)</f>
        <v>354310</v>
      </c>
    </row>
    <row r="83" spans="1:4" x14ac:dyDescent="0.25">
      <c r="A83">
        <v>51000.3</v>
      </c>
      <c r="B83" s="137" t="s">
        <v>168</v>
      </c>
      <c r="C83" s="269">
        <f>VLOOKUP(A83,'75 - Summary Exhibit'!$A$3:$N$313,3,0)</f>
        <v>27145614</v>
      </c>
      <c r="D83" s="269">
        <f>VLOOKUP(A83,'75 - Summary Exhibit'!$A$3:$O$314,15,0)</f>
        <v>3539234</v>
      </c>
    </row>
    <row r="84" spans="1:4" x14ac:dyDescent="0.25">
      <c r="C84" s="163">
        <f>SUM(C2:C83)</f>
        <v>10352686404</v>
      </c>
      <c r="D84" s="163">
        <f>SUM(D2:D83)</f>
        <v>1593492542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54"/>
  <sheetViews>
    <sheetView showGridLines="0" zoomScaleNormal="100" workbookViewId="0">
      <selection activeCell="B63" sqref="B63"/>
    </sheetView>
  </sheetViews>
  <sheetFormatPr defaultColWidth="9.33203125" defaultRowHeight="13.2" x14ac:dyDescent="0.25"/>
  <cols>
    <col min="1" max="1" width="4.44140625" style="18" customWidth="1"/>
    <col min="2" max="2" width="50.6640625" style="18" customWidth="1"/>
    <col min="3" max="3" width="7.6640625" style="18" customWidth="1"/>
    <col min="4" max="4" width="3.6640625" style="18" hidden="1" customWidth="1"/>
    <col min="5" max="6" width="10.5546875" style="18" bestFit="1" customWidth="1"/>
    <col min="7" max="7" width="40.6640625" style="18" customWidth="1"/>
    <col min="8" max="8" width="16.33203125" style="18" customWidth="1"/>
    <col min="9" max="9" width="14" style="18" customWidth="1"/>
    <col min="10" max="10" width="88.33203125" style="18" customWidth="1"/>
    <col min="11" max="16384" width="9.33203125" style="18"/>
  </cols>
  <sheetData>
    <row r="1" spans="1:9" x14ac:dyDescent="0.25">
      <c r="A1" s="53" t="str">
        <f>Info!B5</f>
        <v>APPALACHIAN STATE UNIVERSITY</v>
      </c>
    </row>
    <row r="2" spans="1:9" x14ac:dyDescent="0.25">
      <c r="A2" s="53" t="s">
        <v>232</v>
      </c>
    </row>
    <row r="3" spans="1:9" x14ac:dyDescent="0.25">
      <c r="A3" s="53" t="s">
        <v>819</v>
      </c>
    </row>
    <row r="4" spans="1:9" ht="10.199999999999999" customHeight="1" x14ac:dyDescent="0.3">
      <c r="A4" s="53"/>
      <c r="G4" s="56"/>
    </row>
    <row r="5" spans="1:9" ht="12" customHeight="1" x14ac:dyDescent="0.3">
      <c r="A5" s="29"/>
      <c r="B5" s="29"/>
      <c r="C5" s="35" t="str">
        <f>IF(Info!B$10=2,"Colleague","NCFS")</f>
        <v>NCFS</v>
      </c>
      <c r="D5" s="29"/>
      <c r="E5" s="29"/>
      <c r="F5" s="29"/>
      <c r="G5" s="29"/>
      <c r="H5" s="29"/>
      <c r="I5" s="29"/>
    </row>
    <row r="6" spans="1:9" ht="12" customHeight="1" x14ac:dyDescent="0.3">
      <c r="A6" s="30" t="s">
        <v>2</v>
      </c>
      <c r="B6" s="30" t="s">
        <v>141</v>
      </c>
      <c r="C6" s="31" t="s">
        <v>128</v>
      </c>
      <c r="D6" s="31" t="s">
        <v>14</v>
      </c>
      <c r="E6" s="31" t="s">
        <v>0</v>
      </c>
      <c r="F6" s="31" t="s">
        <v>1</v>
      </c>
      <c r="G6" s="31" t="s">
        <v>23</v>
      </c>
      <c r="H6" s="31" t="s">
        <v>3</v>
      </c>
      <c r="I6" s="31" t="s">
        <v>22</v>
      </c>
    </row>
    <row r="7" spans="1:9" ht="3" customHeight="1" x14ac:dyDescent="0.3">
      <c r="A7" s="32"/>
      <c r="B7" s="33"/>
      <c r="C7" s="34"/>
      <c r="D7" s="34"/>
      <c r="E7" s="31"/>
      <c r="F7" s="31"/>
      <c r="G7" s="29"/>
      <c r="H7" s="29"/>
      <c r="I7" s="29"/>
    </row>
    <row r="8" spans="1:9" ht="13.8" x14ac:dyDescent="0.3">
      <c r="A8" s="29"/>
      <c r="B8" s="17" t="s">
        <v>173</v>
      </c>
      <c r="C8" s="34"/>
      <c r="D8" s="34"/>
      <c r="E8" s="35"/>
      <c r="F8" s="35"/>
      <c r="G8" s="33"/>
      <c r="H8" s="33"/>
      <c r="I8" s="29"/>
    </row>
    <row r="9" spans="1:9" ht="4.2" customHeight="1" x14ac:dyDescent="0.3">
      <c r="A9" s="29"/>
      <c r="B9" s="36"/>
      <c r="C9" s="34"/>
      <c r="D9" s="34"/>
      <c r="E9" s="35"/>
      <c r="F9" s="35"/>
      <c r="G9" s="33"/>
      <c r="H9" s="33"/>
      <c r="I9" s="29"/>
    </row>
    <row r="10" spans="1:9" ht="12.6" customHeight="1" x14ac:dyDescent="0.3">
      <c r="A10" s="29"/>
      <c r="B10" s="33" t="s">
        <v>193</v>
      </c>
      <c r="C10" s="34"/>
      <c r="D10" s="34">
        <v>4</v>
      </c>
      <c r="E10" s="38">
        <f>VLOOKUP(Info!B9,Data!B:AU,32,FALSE)</f>
        <v>14843006</v>
      </c>
      <c r="F10" s="35"/>
      <c r="G10" s="156" t="s">
        <v>25</v>
      </c>
      <c r="H10" s="33"/>
      <c r="I10" s="29"/>
    </row>
    <row r="11" spans="1:9" ht="12.6" customHeight="1" x14ac:dyDescent="0.3">
      <c r="A11" s="29"/>
      <c r="B11" s="33" t="s">
        <v>193</v>
      </c>
      <c r="C11" s="34"/>
      <c r="D11" s="34">
        <v>2</v>
      </c>
      <c r="E11" s="38">
        <f>VLOOKUP(Info!B9,Data!B:AU,31,FALSE)</f>
        <v>30977777</v>
      </c>
      <c r="F11" s="35"/>
      <c r="G11" s="156" t="s">
        <v>132</v>
      </c>
      <c r="H11" s="33"/>
      <c r="I11" s="29"/>
    </row>
    <row r="12" spans="1:9" ht="12.6" customHeight="1" x14ac:dyDescent="0.3">
      <c r="A12" s="29"/>
      <c r="B12" s="33" t="s">
        <v>193</v>
      </c>
      <c r="C12" s="34"/>
      <c r="D12" s="34">
        <v>3</v>
      </c>
      <c r="E12" s="38">
        <f>VLOOKUP(Info!B9,Data!B:AU,30,FALSE)</f>
        <v>2284366</v>
      </c>
      <c r="F12" s="35"/>
      <c r="G12" s="156" t="s">
        <v>26</v>
      </c>
      <c r="H12" s="33"/>
      <c r="I12" s="29"/>
    </row>
    <row r="13" spans="1:9" ht="12.6" customHeight="1" x14ac:dyDescent="0.3">
      <c r="A13" s="37"/>
      <c r="B13" s="33" t="s">
        <v>193</v>
      </c>
      <c r="C13" s="34"/>
      <c r="D13" s="34">
        <v>1</v>
      </c>
      <c r="E13" s="38">
        <f>VLOOKUP(Info!B9,Data!B:AU,29,FALSE)</f>
        <v>3148939</v>
      </c>
      <c r="F13" s="38"/>
      <c r="G13" s="156" t="s">
        <v>24</v>
      </c>
      <c r="H13" s="156"/>
      <c r="I13" s="156"/>
    </row>
    <row r="14" spans="1:9" ht="12.6" customHeight="1" x14ac:dyDescent="0.3">
      <c r="A14" s="37"/>
      <c r="B14" s="33" t="s">
        <v>193</v>
      </c>
      <c r="C14" s="34"/>
      <c r="D14" s="34"/>
      <c r="E14" s="38">
        <f>VLOOKUP(Info!B9,Data!B:AU,2,FALSE)+VLOOKUP(Info!B9,Data!B:AU,21,FALSE)</f>
        <v>17372379</v>
      </c>
      <c r="F14" s="38"/>
      <c r="G14" s="157" t="s">
        <v>824</v>
      </c>
      <c r="H14" s="156"/>
      <c r="I14" s="156" t="s">
        <v>134</v>
      </c>
    </row>
    <row r="15" spans="1:9" ht="13.8" x14ac:dyDescent="0.3">
      <c r="A15" s="37"/>
      <c r="B15" s="39" t="s">
        <v>194</v>
      </c>
      <c r="C15" s="34"/>
      <c r="D15" s="34"/>
      <c r="E15" s="38"/>
      <c r="F15" s="38">
        <f>VLOOKUP(Info!B9,Data!B:AU,28,FALSE)</f>
        <v>285956342</v>
      </c>
      <c r="G15" s="156" t="s">
        <v>196</v>
      </c>
      <c r="H15" s="156"/>
      <c r="I15" s="156"/>
    </row>
    <row r="16" spans="1:9" ht="13.8" x14ac:dyDescent="0.3">
      <c r="A16" s="37"/>
      <c r="B16" s="39" t="s">
        <v>195</v>
      </c>
      <c r="C16" s="34"/>
      <c r="D16" s="34">
        <v>6</v>
      </c>
      <c r="E16" s="38"/>
      <c r="F16" s="38">
        <f>VLOOKUP(Info!B9,Data!B:AU,33,FALSE)</f>
        <v>280180</v>
      </c>
      <c r="G16" s="156" t="s">
        <v>24</v>
      </c>
      <c r="H16" s="156"/>
      <c r="I16" s="156"/>
    </row>
    <row r="17" spans="1:9" ht="13.8" x14ac:dyDescent="0.3">
      <c r="A17" s="37"/>
      <c r="B17" s="39" t="s">
        <v>195</v>
      </c>
      <c r="C17" s="34"/>
      <c r="D17" s="34">
        <v>8</v>
      </c>
      <c r="E17" s="38"/>
      <c r="F17" s="38">
        <f>VLOOKUP(Info!B9,Data!B:AU,34,FALSE)</f>
        <v>0</v>
      </c>
      <c r="G17" s="156" t="s">
        <v>26</v>
      </c>
      <c r="H17" s="156"/>
      <c r="I17" s="156"/>
    </row>
    <row r="18" spans="1:9" ht="13.8" x14ac:dyDescent="0.3">
      <c r="A18" s="37"/>
      <c r="B18" s="39" t="s">
        <v>195</v>
      </c>
      <c r="C18" s="34"/>
      <c r="D18" s="34">
        <v>7</v>
      </c>
      <c r="E18" s="38"/>
      <c r="F18" s="38">
        <f>VLOOKUP(Info!B9,Data!B:AU,35,FALSE)</f>
        <v>76290844</v>
      </c>
      <c r="G18" s="156" t="s">
        <v>132</v>
      </c>
      <c r="H18" s="156"/>
      <c r="I18" s="156"/>
    </row>
    <row r="19" spans="1:9" ht="13.8" x14ac:dyDescent="0.3">
      <c r="A19" s="37"/>
      <c r="B19" s="39" t="s">
        <v>195</v>
      </c>
      <c r="C19" s="34"/>
      <c r="D19" s="34">
        <v>9</v>
      </c>
      <c r="E19" s="38"/>
      <c r="F19" s="38">
        <f>VLOOKUP(Info!B9,Data!B:AU,36,FALSE)</f>
        <v>1992634</v>
      </c>
      <c r="G19" s="156" t="s">
        <v>25</v>
      </c>
      <c r="H19" s="156"/>
      <c r="I19" s="156"/>
    </row>
    <row r="20" spans="1:9" ht="5.0999999999999996" customHeight="1" x14ac:dyDescent="0.3">
      <c r="A20" s="37"/>
      <c r="B20" s="40"/>
      <c r="C20" s="35"/>
      <c r="D20" s="35"/>
      <c r="E20" s="38"/>
      <c r="F20" s="38"/>
      <c r="G20" s="156"/>
      <c r="H20" s="29"/>
      <c r="I20" s="29"/>
    </row>
    <row r="21" spans="1:9" ht="12.6" customHeight="1" x14ac:dyDescent="0.3">
      <c r="A21" s="37"/>
      <c r="B21" s="180" t="s">
        <v>825</v>
      </c>
      <c r="C21" s="35"/>
      <c r="D21" s="35"/>
      <c r="E21" s="185">
        <v>0</v>
      </c>
      <c r="F21" s="38"/>
      <c r="G21" s="157" t="s">
        <v>804</v>
      </c>
      <c r="H21" s="29"/>
      <c r="I21" s="29"/>
    </row>
    <row r="22" spans="1:9" ht="13.8" x14ac:dyDescent="0.3">
      <c r="A22" s="37"/>
      <c r="B22" s="17" t="s">
        <v>137</v>
      </c>
      <c r="C22" s="29"/>
      <c r="D22" s="29"/>
      <c r="E22" s="41"/>
      <c r="F22" s="41"/>
      <c r="G22" s="156"/>
      <c r="H22" s="156"/>
      <c r="I22" s="29"/>
    </row>
    <row r="23" spans="1:9" ht="3" customHeight="1" x14ac:dyDescent="0.3">
      <c r="A23" s="37"/>
      <c r="B23" s="33"/>
      <c r="C23" s="34"/>
      <c r="D23" s="34"/>
      <c r="E23" s="38"/>
      <c r="F23" s="38"/>
      <c r="G23" s="29"/>
      <c r="H23" s="29"/>
      <c r="I23" s="29"/>
    </row>
    <row r="24" spans="1:9" ht="13.8" x14ac:dyDescent="0.3">
      <c r="A24" s="42"/>
      <c r="B24" s="43" t="s">
        <v>177</v>
      </c>
      <c r="C24" s="30"/>
      <c r="D24" s="30"/>
      <c r="E24" s="38"/>
      <c r="F24" s="38"/>
      <c r="G24" s="29"/>
      <c r="H24" s="29"/>
      <c r="I24" s="29"/>
    </row>
    <row r="25" spans="1:9" ht="13.5" customHeight="1" x14ac:dyDescent="0.3">
      <c r="A25" s="37">
        <v>1</v>
      </c>
      <c r="B25" s="33" t="s">
        <v>197</v>
      </c>
      <c r="C25" s="34">
        <f>IF(Info!B$10=2,Summary!R9,Summary!Q9)</f>
        <v>61100009</v>
      </c>
      <c r="D25" s="30"/>
      <c r="E25" s="38">
        <f>IF(E21=0,0,IF(E21&lt;E14,E14-E21,0))</f>
        <v>0</v>
      </c>
      <c r="F25" s="38"/>
      <c r="G25" s="156" t="s">
        <v>826</v>
      </c>
      <c r="H25" s="156"/>
      <c r="I25" s="156"/>
    </row>
    <row r="26" spans="1:9" ht="13.5" customHeight="1" x14ac:dyDescent="0.3">
      <c r="A26" s="42"/>
      <c r="B26" s="33" t="s">
        <v>174</v>
      </c>
      <c r="C26" s="34">
        <f>IF(Info!B$10=2,Summary!R14,Summary!Q14)</f>
        <v>55900000</v>
      </c>
      <c r="D26" s="30"/>
      <c r="E26" s="38">
        <f>F27</f>
        <v>0</v>
      </c>
      <c r="F26" s="38"/>
      <c r="G26" s="156" t="s">
        <v>15</v>
      </c>
      <c r="H26" s="156" t="s">
        <v>189</v>
      </c>
      <c r="I26" s="29"/>
    </row>
    <row r="27" spans="1:9" ht="13.5" customHeight="1" x14ac:dyDescent="0.3">
      <c r="A27" s="42"/>
      <c r="B27" s="39" t="s">
        <v>197</v>
      </c>
      <c r="C27" s="34">
        <f>IF(Info!B$10=2,Summary!R9,Summary!Q9)</f>
        <v>61100009</v>
      </c>
      <c r="D27" s="30"/>
      <c r="E27" s="38"/>
      <c r="F27" s="38">
        <f>IF(E21=0,0,IF(E21&gt;E14,E21-E14,0))</f>
        <v>0</v>
      </c>
      <c r="G27" s="156" t="s">
        <v>826</v>
      </c>
      <c r="H27" s="156"/>
      <c r="I27" s="29"/>
    </row>
    <row r="28" spans="1:9" ht="13.5" customHeight="1" x14ac:dyDescent="0.3">
      <c r="A28" s="42"/>
      <c r="B28" s="39" t="s">
        <v>175</v>
      </c>
      <c r="C28" s="34">
        <f>IF(Info!B$10=2,Summary!R15,Summary!Q15)</f>
        <v>47995000</v>
      </c>
      <c r="D28" s="30"/>
      <c r="E28" s="147"/>
      <c r="F28" s="147">
        <f>E25</f>
        <v>0</v>
      </c>
      <c r="G28" s="156" t="s">
        <v>15</v>
      </c>
      <c r="H28" s="156" t="s">
        <v>189</v>
      </c>
      <c r="I28" s="29"/>
    </row>
    <row r="29" spans="1:9" ht="13.8" x14ac:dyDescent="0.3">
      <c r="A29" s="42"/>
      <c r="B29" s="39" t="s">
        <v>827</v>
      </c>
      <c r="C29" s="30"/>
      <c r="D29" s="30"/>
      <c r="E29" s="45">
        <f>SUM(E25:E28)</f>
        <v>0</v>
      </c>
      <c r="F29" s="45">
        <f>SUM(F25:F28)</f>
        <v>0</v>
      </c>
      <c r="G29" s="29"/>
      <c r="H29" s="29"/>
      <c r="I29" s="29"/>
    </row>
    <row r="30" spans="1:9" ht="3" customHeight="1" x14ac:dyDescent="0.3">
      <c r="A30" s="42"/>
      <c r="B30" s="43"/>
      <c r="C30" s="30"/>
      <c r="D30" s="30"/>
      <c r="E30" s="38"/>
      <c r="F30" s="38"/>
      <c r="G30" s="29"/>
      <c r="H30" s="29"/>
      <c r="I30" s="29"/>
    </row>
    <row r="31" spans="1:9" ht="13.8" x14ac:dyDescent="0.3">
      <c r="A31" s="42"/>
      <c r="B31" s="43" t="s">
        <v>198</v>
      </c>
      <c r="C31" s="30"/>
      <c r="D31" s="30"/>
      <c r="E31" s="38"/>
      <c r="F31" s="38"/>
      <c r="G31" s="29"/>
      <c r="H31" s="29"/>
      <c r="I31" s="29"/>
    </row>
    <row r="32" spans="1:9" ht="13.8" x14ac:dyDescent="0.3">
      <c r="A32" s="37"/>
      <c r="B32" s="33" t="s">
        <v>200</v>
      </c>
      <c r="C32" s="34">
        <f>IF(Info!B$10=2,Summary!R8,Summary!Q8)</f>
        <v>22916000</v>
      </c>
      <c r="D32" s="34"/>
      <c r="E32" s="38">
        <f>IF(VLOOKUP(Info!B9,Data!B:AU,44,FALSE)&lt;0, -VLOOKUP(Info!B9,Data!B:AU,44,FALSE),0)</f>
        <v>0</v>
      </c>
      <c r="F32" s="38"/>
      <c r="G32" s="156" t="s">
        <v>205</v>
      </c>
      <c r="H32" s="156" t="s">
        <v>154</v>
      </c>
      <c r="I32" s="158"/>
    </row>
    <row r="33" spans="1:10" ht="13.8" x14ac:dyDescent="0.3">
      <c r="A33" s="37"/>
      <c r="B33" s="33" t="s">
        <v>193</v>
      </c>
      <c r="C33" s="34">
        <f>IF(Info!B$10=2,Summary!R9,Summary!Q9)</f>
        <v>61100009</v>
      </c>
      <c r="D33" s="34">
        <v>1</v>
      </c>
      <c r="E33" s="38">
        <f>IF(VLOOKUP(Info!B9,Data!B:AU,40,FALSE)&gt;0, VLOOKUP(Info!B9,Data!B:AU,40,FALSE),0)</f>
        <v>0</v>
      </c>
      <c r="F33" s="38"/>
      <c r="G33" s="156" t="s">
        <v>24</v>
      </c>
      <c r="H33" s="156" t="s">
        <v>135</v>
      </c>
      <c r="I33" s="156"/>
    </row>
    <row r="34" spans="1:10" ht="13.8" x14ac:dyDescent="0.3">
      <c r="A34" s="37">
        <v>2</v>
      </c>
      <c r="B34" s="33" t="s">
        <v>195</v>
      </c>
      <c r="C34" s="34">
        <f>IF(Info!B$10=2,Summary!R10,Summary!Q10)</f>
        <v>71100011</v>
      </c>
      <c r="D34" s="34">
        <v>6</v>
      </c>
      <c r="E34" s="38">
        <f>IF(VLOOKUP(Info!B9,Data!B:AU,41,FALSE)&lt;0, -VLOOKUP(Info!B9,Data!B:AU,41,FALSE),0)</f>
        <v>280180</v>
      </c>
      <c r="F34" s="38"/>
      <c r="G34" s="156" t="s">
        <v>24</v>
      </c>
      <c r="H34" s="156" t="s">
        <v>135</v>
      </c>
      <c r="I34" s="156"/>
    </row>
    <row r="35" spans="1:10" ht="13.8" x14ac:dyDescent="0.3">
      <c r="A35" s="29"/>
      <c r="B35" s="33" t="s">
        <v>193</v>
      </c>
      <c r="C35" s="34">
        <f>IF(Info!B$10=2,Summary!R9,Summary!Q9)</f>
        <v>61100009</v>
      </c>
      <c r="D35" s="34">
        <v>2</v>
      </c>
      <c r="E35" s="38">
        <f>IF(VLOOKUP(Info!B9,Data!B:AU,42,FALSE)&gt;0, VLOOKUP(Info!B9,Data!B:AU,42,FALSE),0)</f>
        <v>58924308</v>
      </c>
      <c r="F35" s="29"/>
      <c r="G35" s="156" t="s">
        <v>132</v>
      </c>
      <c r="H35" s="156" t="s">
        <v>184</v>
      </c>
      <c r="I35" s="158"/>
    </row>
    <row r="36" spans="1:10" ht="13.8" x14ac:dyDescent="0.3">
      <c r="A36" s="29"/>
      <c r="B36" s="33" t="s">
        <v>195</v>
      </c>
      <c r="C36" s="34">
        <f>IF(Info!B$10=2,Summary!R10,Summary!Q10)</f>
        <v>71100011</v>
      </c>
      <c r="D36" s="34">
        <v>7</v>
      </c>
      <c r="E36" s="38">
        <f>IF(VLOOKUP(Info!B9,Data!B:AU,43,FALSE)&lt;0, -VLOOKUP(Info!B9,Data!B:AU,43,FALSE),0)</f>
        <v>27622202</v>
      </c>
      <c r="F36" s="29"/>
      <c r="G36" s="156" t="s">
        <v>132</v>
      </c>
      <c r="H36" s="156" t="s">
        <v>184</v>
      </c>
      <c r="I36" s="158"/>
    </row>
    <row r="37" spans="1:10" ht="13.8" x14ac:dyDescent="0.3">
      <c r="A37" s="37"/>
      <c r="B37" s="33" t="s">
        <v>193</v>
      </c>
      <c r="C37" s="34">
        <f>IF(Info!B$10=2,Summary!R9,Summary!Q9)</f>
        <v>61100009</v>
      </c>
      <c r="D37" s="34">
        <v>4</v>
      </c>
      <c r="E37" s="38">
        <f>IF(VLOOKUP(Info!B9,Data!B:AU,38,FALSE)&gt;0, VLOOKUP(Info!B9,Data!B:AU,38,FALSE),0)</f>
        <v>1269450</v>
      </c>
      <c r="F37" s="38"/>
      <c r="G37" s="156" t="s">
        <v>25</v>
      </c>
      <c r="H37" s="156" t="s">
        <v>180</v>
      </c>
      <c r="I37" s="158"/>
    </row>
    <row r="38" spans="1:10" ht="13.8" x14ac:dyDescent="0.3">
      <c r="A38" s="37"/>
      <c r="B38" s="33" t="s">
        <v>195</v>
      </c>
      <c r="C38" s="34">
        <f>IF(Info!B$10=2,Summary!R10,Summary!Q10)</f>
        <v>71100011</v>
      </c>
      <c r="D38" s="34">
        <v>9</v>
      </c>
      <c r="E38" s="38">
        <f>IF(VLOOKUP(Info!B9,Data!B:AU,39,FALSE)&lt;0, -VLOOKUP(Info!B9,Data!B:AU,39,FALSE),0)</f>
        <v>666375</v>
      </c>
      <c r="F38" s="38"/>
      <c r="G38" s="156" t="s">
        <v>25</v>
      </c>
      <c r="H38" s="156" t="s">
        <v>180</v>
      </c>
      <c r="I38" s="158"/>
      <c r="J38" s="183"/>
    </row>
    <row r="39" spans="1:10" ht="13.8" x14ac:dyDescent="0.3">
      <c r="A39" s="37"/>
      <c r="B39" s="33" t="s">
        <v>193</v>
      </c>
      <c r="C39" s="34">
        <f>IF(Info!B$10=2,Summary!R9,Summary!Q9)</f>
        <v>61100009</v>
      </c>
      <c r="D39" s="34">
        <v>3</v>
      </c>
      <c r="E39" s="38">
        <f>IF(VLOOKUP(Info!B9,Data!B:AU,45,FALSE)&gt;0, VLOOKUP(Info!B9,Data!B:AU,45,FALSE),0)</f>
        <v>0</v>
      </c>
      <c r="F39" s="29"/>
      <c r="G39" s="156" t="s">
        <v>26</v>
      </c>
      <c r="H39" s="156" t="s">
        <v>135</v>
      </c>
      <c r="I39" s="158"/>
    </row>
    <row r="40" spans="1:10" ht="13.8" x14ac:dyDescent="0.3">
      <c r="A40" s="37"/>
      <c r="B40" s="33" t="s">
        <v>195</v>
      </c>
      <c r="C40" s="34">
        <f>IF(Info!B$10=2,Summary!R10,Summary!Q10)</f>
        <v>71100011</v>
      </c>
      <c r="D40" s="34">
        <v>8</v>
      </c>
      <c r="E40" s="38">
        <f>IF(VLOOKUP(Info!B9,Data!B:AU,46,FALSE)&lt;0, -VLOOKUP(Info!B9,Data!B:AU,46,FALSE),0)</f>
        <v>0</v>
      </c>
      <c r="F40" s="38"/>
      <c r="G40" s="156" t="s">
        <v>26</v>
      </c>
      <c r="H40" s="156" t="s">
        <v>135</v>
      </c>
      <c r="I40" s="158"/>
    </row>
    <row r="41" spans="1:10" ht="13.8" x14ac:dyDescent="0.3">
      <c r="A41" s="37"/>
      <c r="B41" s="33" t="s">
        <v>199</v>
      </c>
      <c r="C41" s="34">
        <f>IF(Info!B$10=2,Summary!R11,Summary!Q11)</f>
        <v>51598000</v>
      </c>
      <c r="D41" s="34"/>
      <c r="E41" s="38">
        <f>IF(VLOOKUP(Info!B9,Data!B:AU,15,FALSE)&gt;0, VLOOKUP(Info!B9,Data!B:AU,15,FALSE),0)</f>
        <v>16842553</v>
      </c>
      <c r="F41" s="38"/>
      <c r="G41" s="156" t="s">
        <v>204</v>
      </c>
      <c r="H41" s="159" t="s">
        <v>16</v>
      </c>
      <c r="I41" s="156"/>
    </row>
    <row r="42" spans="1:10" ht="13.8" x14ac:dyDescent="0.3">
      <c r="A42" s="37"/>
      <c r="B42" s="33" t="s">
        <v>199</v>
      </c>
      <c r="C42" s="34">
        <f>IF(Info!B$10=2,Summary!R11,Summary!Q11)</f>
        <v>51598000</v>
      </c>
      <c r="D42" s="34"/>
      <c r="E42" s="38"/>
      <c r="F42" s="38">
        <f>IF(VLOOKUP(Info!B9,Data!B:AU,15,FALSE)&lt;0, -VLOOKUP(Info!B9,Data!B:AU,15,FALSE),0)</f>
        <v>0</v>
      </c>
      <c r="G42" s="156" t="s">
        <v>204</v>
      </c>
      <c r="H42" s="159" t="s">
        <v>16</v>
      </c>
      <c r="I42" s="156"/>
    </row>
    <row r="43" spans="1:10" ht="13.8" x14ac:dyDescent="0.3">
      <c r="A43" s="37"/>
      <c r="B43" s="39" t="s">
        <v>200</v>
      </c>
      <c r="C43" s="34">
        <f>IF(Info!B$10=2,Summary!R8,Summary!Q8)</f>
        <v>22916000</v>
      </c>
      <c r="D43" s="34"/>
      <c r="E43" s="29"/>
      <c r="F43" s="38">
        <f>IF(VLOOKUP(Info!B9,Data!B:AU,44,FALSE)&gt;0, VLOOKUP(Info!B9,Data!B:AU,44,FALSE),0)</f>
        <v>87327884</v>
      </c>
      <c r="G43" s="156" t="s">
        <v>205</v>
      </c>
      <c r="H43" s="156" t="s">
        <v>154</v>
      </c>
      <c r="I43" s="156"/>
    </row>
    <row r="44" spans="1:10" ht="13.8" x14ac:dyDescent="0.3">
      <c r="A44" s="37"/>
      <c r="B44" s="39" t="s">
        <v>195</v>
      </c>
      <c r="C44" s="34">
        <f>IF(Info!B$10=2,Summary!R10,Summary!Q10)</f>
        <v>71100011</v>
      </c>
      <c r="D44" s="34">
        <v>6</v>
      </c>
      <c r="E44" s="44"/>
      <c r="F44" s="38">
        <f>IF(VLOOKUP(Info!B9,Data!B:AU,41,FALSE)&gt;0, VLOOKUP(Info!B9,Data!B:AU,41,FALSE),0)</f>
        <v>0</v>
      </c>
      <c r="G44" s="156" t="s">
        <v>24</v>
      </c>
      <c r="H44" s="156" t="s">
        <v>181</v>
      </c>
      <c r="I44" s="29"/>
    </row>
    <row r="45" spans="1:10" ht="13.8" x14ac:dyDescent="0.3">
      <c r="A45" s="37"/>
      <c r="B45" s="39" t="s">
        <v>193</v>
      </c>
      <c r="C45" s="34">
        <f>IF(Info!B$10=2,Summary!R9,Summary!Q9)</f>
        <v>61100009</v>
      </c>
      <c r="D45" s="34">
        <v>1</v>
      </c>
      <c r="E45" s="44"/>
      <c r="F45" s="38">
        <f>IF(VLOOKUP(Info!B9,Data!B:AU,40,FALSE)&lt;0, -VLOOKUP(Info!B9,Data!B:AU,40,FALSE),0)</f>
        <v>106455</v>
      </c>
      <c r="G45" s="156" t="s">
        <v>24</v>
      </c>
      <c r="H45" s="156" t="s">
        <v>181</v>
      </c>
      <c r="I45" s="29"/>
    </row>
    <row r="46" spans="1:10" ht="13.8" x14ac:dyDescent="0.3">
      <c r="A46" s="37"/>
      <c r="B46" s="39" t="s">
        <v>195</v>
      </c>
      <c r="C46" s="34">
        <f>IF(Info!B$10=2,Summary!R10,Summary!Q10)</f>
        <v>71100011</v>
      </c>
      <c r="D46" s="34">
        <v>7</v>
      </c>
      <c r="E46" s="44"/>
      <c r="F46" s="38">
        <f>IF(VLOOKUP(Info!B9,Data!B:AU,43,FALSE)&gt;0, VLOOKUP(Info!B9,Data!B:AU,43,FALSE),0)</f>
        <v>0</v>
      </c>
      <c r="G46" s="156" t="s">
        <v>132</v>
      </c>
      <c r="H46" s="156" t="s">
        <v>184</v>
      </c>
      <c r="I46" s="29"/>
    </row>
    <row r="47" spans="1:10" ht="13.8" x14ac:dyDescent="0.3">
      <c r="A47" s="37"/>
      <c r="B47" s="39" t="s">
        <v>193</v>
      </c>
      <c r="C47" s="34">
        <f>IF(Info!B$10=2,Summary!R9,Summary!Q9)</f>
        <v>61100009</v>
      </c>
      <c r="D47" s="34">
        <v>2</v>
      </c>
      <c r="E47" s="44"/>
      <c r="F47" s="38">
        <f>IF(VLOOKUP(Info!B9,Data!B:AU,42,FALSE)&lt;0, -VLOOKUP(Info!B9,Data!B:AU,42,FALSE),0)</f>
        <v>0</v>
      </c>
      <c r="G47" s="156" t="s">
        <v>132</v>
      </c>
      <c r="H47" s="156" t="s">
        <v>184</v>
      </c>
      <c r="I47" s="29"/>
    </row>
    <row r="48" spans="1:10" ht="13.8" x14ac:dyDescent="0.3">
      <c r="A48" s="37"/>
      <c r="B48" s="39" t="s">
        <v>195</v>
      </c>
      <c r="C48" s="34">
        <f>IF(Info!B$10=2,Summary!R10,Summary!Q10)</f>
        <v>71100011</v>
      </c>
      <c r="D48" s="34">
        <v>9</v>
      </c>
      <c r="E48" s="44"/>
      <c r="F48" s="38">
        <f>IF(VLOOKUP(Info!B9,Data!B:AU,39,FALSE)&gt;0, VLOOKUP(Info!B9,Data!B:AU,39,FALSE),0)</f>
        <v>0</v>
      </c>
      <c r="G48" s="156" t="s">
        <v>25</v>
      </c>
      <c r="H48" s="156" t="s">
        <v>180</v>
      </c>
      <c r="I48" s="29"/>
    </row>
    <row r="49" spans="1:13" ht="13.8" x14ac:dyDescent="0.3">
      <c r="A49" s="37"/>
      <c r="B49" s="39" t="s">
        <v>193</v>
      </c>
      <c r="C49" s="34">
        <f>IF(Info!B$10=2,Summary!R9,Summary!Q9)</f>
        <v>61100009</v>
      </c>
      <c r="D49" s="34">
        <v>4</v>
      </c>
      <c r="E49" s="44"/>
      <c r="F49" s="38">
        <f>IF(VLOOKUP(Info!B9,Data!B:AU,38,FALSE)&lt;0, -VLOOKUP(Info!B9,Data!B:AU,38,FALSE),0)</f>
        <v>0</v>
      </c>
      <c r="G49" s="156" t="s">
        <v>25</v>
      </c>
      <c r="H49" s="156" t="s">
        <v>180</v>
      </c>
      <c r="I49" s="29"/>
    </row>
    <row r="50" spans="1:13" ht="13.8" x14ac:dyDescent="0.3">
      <c r="A50" s="37"/>
      <c r="B50" s="39" t="s">
        <v>195</v>
      </c>
      <c r="C50" s="34">
        <f>IF(Info!B$10=2,Summary!R10,Summary!Q10)</f>
        <v>71100011</v>
      </c>
      <c r="D50" s="34">
        <v>8</v>
      </c>
      <c r="E50" s="44"/>
      <c r="F50" s="38">
        <f>IF(VLOOKUP(Info!B9,Data!B:AU,46,FALSE)&gt;0, VLOOKUP(Info!B9,Data!B:AU,46,FALSE),0)</f>
        <v>0</v>
      </c>
      <c r="G50" s="156" t="s">
        <v>26</v>
      </c>
      <c r="H50" s="156" t="s">
        <v>135</v>
      </c>
      <c r="I50" s="29"/>
    </row>
    <row r="51" spans="1:13" ht="13.8" x14ac:dyDescent="0.3">
      <c r="A51" s="37"/>
      <c r="B51" s="39" t="s">
        <v>193</v>
      </c>
      <c r="C51" s="34">
        <f>IF(Info!B$10=2,Summary!R9,Summary!Q9)</f>
        <v>61100009</v>
      </c>
      <c r="D51" s="34">
        <v>3</v>
      </c>
      <c r="E51" s="44"/>
      <c r="F51" s="38">
        <f>IF(VLOOKUP(Info!B9,Data!B:AU,45,FALSE)&lt;0, -VLOOKUP(Info!B9,Data!B:AU,45,FALSE),0)</f>
        <v>684782</v>
      </c>
      <c r="G51" s="156" t="s">
        <v>26</v>
      </c>
      <c r="H51" s="156" t="s">
        <v>135</v>
      </c>
      <c r="I51" s="29"/>
    </row>
    <row r="52" spans="1:13" ht="13.8" x14ac:dyDescent="0.3">
      <c r="A52" s="37"/>
      <c r="B52" s="39" t="s">
        <v>193</v>
      </c>
      <c r="C52" s="34">
        <f>IF(Info!B$10=2,Summary!R9,Summary!Q9)</f>
        <v>61100009</v>
      </c>
      <c r="D52" s="34"/>
      <c r="E52" s="44"/>
      <c r="F52" s="38">
        <f>E14</f>
        <v>17372379</v>
      </c>
      <c r="G52" s="156" t="s">
        <v>176</v>
      </c>
      <c r="H52" s="156" t="s">
        <v>155</v>
      </c>
      <c r="I52" s="156" t="s">
        <v>134</v>
      </c>
    </row>
    <row r="53" spans="1:13" ht="13.8" x14ac:dyDescent="0.3">
      <c r="A53" s="37"/>
      <c r="B53" s="196" t="s">
        <v>466</v>
      </c>
      <c r="C53" s="207">
        <f>IF(Info!B$10=2,Summary!R16,Summary!Q16)</f>
        <v>46207000</v>
      </c>
      <c r="D53" s="197"/>
      <c r="E53" s="198"/>
      <c r="F53" s="199">
        <f>IF(VLOOKUP(Info!B9,Data!B:AU,25,FALSE)&gt;0, VLOOKUP(Info!B9,Data!B:AU,25,FALSE),0)</f>
        <v>113568</v>
      </c>
      <c r="G53" s="156" t="s">
        <v>469</v>
      </c>
      <c r="H53" s="156" t="s">
        <v>468</v>
      </c>
      <c r="I53" s="156"/>
    </row>
    <row r="54" spans="1:13" ht="13.8" x14ac:dyDescent="0.3">
      <c r="A54" s="37"/>
      <c r="B54" s="33" t="s">
        <v>201</v>
      </c>
      <c r="C54" s="34"/>
      <c r="D54" s="34"/>
      <c r="E54" s="45">
        <f>SUM(E32:E52)</f>
        <v>105605068</v>
      </c>
      <c r="F54" s="45">
        <f>SUM(F32:F53)</f>
        <v>105605068</v>
      </c>
      <c r="G54" s="193"/>
      <c r="H54" s="29"/>
      <c r="I54" s="29"/>
      <c r="J54" s="195">
        <f>SUM(E54-F54)</f>
        <v>0</v>
      </c>
      <c r="K54"/>
      <c r="L54"/>
      <c r="M54"/>
    </row>
    <row r="55" spans="1:13" ht="13.8" x14ac:dyDescent="0.3">
      <c r="A55" s="37"/>
      <c r="B55" s="33" t="s">
        <v>202</v>
      </c>
      <c r="C55" s="34"/>
      <c r="D55" s="34"/>
      <c r="E55" s="38"/>
      <c r="F55" s="44"/>
      <c r="G55" s="29"/>
      <c r="H55" s="29"/>
      <c r="I55" s="29"/>
    </row>
    <row r="56" spans="1:13" ht="3" customHeight="1" x14ac:dyDescent="0.3">
      <c r="A56" s="37"/>
      <c r="B56" s="40"/>
      <c r="C56" s="34"/>
      <c r="D56" s="34"/>
      <c r="E56" s="38"/>
      <c r="F56" s="44"/>
      <c r="G56" s="29"/>
      <c r="H56" s="29"/>
      <c r="I56" s="29"/>
    </row>
    <row r="57" spans="1:13" ht="13.8" x14ac:dyDescent="0.3">
      <c r="A57" s="37"/>
      <c r="B57" s="51" t="s">
        <v>138</v>
      </c>
      <c r="C57" s="35"/>
      <c r="D57" s="35"/>
      <c r="E57" s="38"/>
      <c r="F57" s="38"/>
      <c r="G57" s="29"/>
      <c r="H57" s="29"/>
      <c r="I57" s="29"/>
    </row>
    <row r="58" spans="1:13" ht="13.8" x14ac:dyDescent="0.3">
      <c r="A58" s="37">
        <v>3</v>
      </c>
      <c r="B58" s="149" t="s">
        <v>828</v>
      </c>
      <c r="C58" s="34">
        <f>IF(Info!B$10=2,Summary!R9,Summary!Q9)</f>
        <v>61100009</v>
      </c>
      <c r="D58" s="34">
        <v>5</v>
      </c>
      <c r="E58" s="185">
        <v>0</v>
      </c>
      <c r="F58" s="38"/>
      <c r="G58" s="157" t="s">
        <v>829</v>
      </c>
      <c r="H58" s="158" t="str">
        <f>IF(E58=0,"ERROR – Enter Amount"," ")</f>
        <v>ERROR – Enter Amount</v>
      </c>
      <c r="I58" s="29"/>
    </row>
    <row r="59" spans="1:13" ht="13.8" x14ac:dyDescent="0.3">
      <c r="A59" s="37"/>
      <c r="B59" s="39" t="s">
        <v>233</v>
      </c>
      <c r="C59" s="34">
        <f>IF(Info!B$10=2,Summary!R12,Summary!Q12)</f>
        <v>51520000</v>
      </c>
      <c r="D59" s="34"/>
      <c r="E59" s="38"/>
      <c r="F59" s="38">
        <f>E58</f>
        <v>0</v>
      </c>
      <c r="G59" s="156" t="s">
        <v>15</v>
      </c>
      <c r="H59" s="156" t="s">
        <v>188</v>
      </c>
      <c r="I59" s="29"/>
    </row>
    <row r="60" spans="1:13" ht="13.8" x14ac:dyDescent="0.3">
      <c r="A60" s="37"/>
      <c r="B60" s="33" t="s">
        <v>203</v>
      </c>
      <c r="C60" s="34"/>
      <c r="D60" s="34"/>
      <c r="E60" s="45">
        <f>SUM(E58:E59)</f>
        <v>0</v>
      </c>
      <c r="F60" s="45">
        <f>SUM(F58:F59)</f>
        <v>0</v>
      </c>
      <c r="G60" s="29"/>
      <c r="H60" s="29"/>
      <c r="I60" s="29"/>
    </row>
    <row r="61" spans="1:13" ht="12.6" customHeight="1" x14ac:dyDescent="0.3">
      <c r="A61" s="37"/>
      <c r="B61" s="125" t="s">
        <v>234</v>
      </c>
      <c r="C61" s="34"/>
      <c r="D61" s="34"/>
      <c r="E61" s="38"/>
      <c r="F61" s="38"/>
      <c r="G61" s="29"/>
      <c r="H61" s="29"/>
      <c r="I61" s="29"/>
    </row>
    <row r="62" spans="1:13" ht="12.6" customHeight="1" x14ac:dyDescent="0.3">
      <c r="A62" s="37"/>
      <c r="B62" s="239" t="s">
        <v>830</v>
      </c>
      <c r="C62" s="34"/>
      <c r="D62" s="34"/>
      <c r="E62" s="38"/>
      <c r="F62" s="38"/>
      <c r="G62" s="29"/>
      <c r="H62" s="29"/>
      <c r="I62" s="29"/>
    </row>
    <row r="63" spans="1:13" ht="13.8" x14ac:dyDescent="0.3">
      <c r="A63" s="37"/>
      <c r="B63" s="165"/>
      <c r="C63" s="34"/>
      <c r="D63" s="34"/>
      <c r="E63" s="160"/>
      <c r="F63" s="160"/>
      <c r="G63" s="29"/>
      <c r="H63" s="29"/>
      <c r="I63" s="29"/>
    </row>
    <row r="64" spans="1:13" ht="13.8" x14ac:dyDescent="0.3">
      <c r="A64" s="60"/>
      <c r="B64" s="61"/>
      <c r="C64" s="20"/>
      <c r="D64" s="20"/>
      <c r="E64" s="62"/>
      <c r="F64" s="62"/>
    </row>
    <row r="65" spans="1:13" ht="16.2" customHeight="1" x14ac:dyDescent="0.3">
      <c r="A65" s="274" t="s">
        <v>3</v>
      </c>
      <c r="B65" s="275"/>
      <c r="C65" s="20"/>
      <c r="D65" s="20"/>
      <c r="E65" s="62"/>
      <c r="F65" s="62"/>
    </row>
    <row r="66" spans="1:13" ht="54.75" customHeight="1" x14ac:dyDescent="0.25">
      <c r="A66" s="170"/>
      <c r="B66" s="276" t="s">
        <v>243</v>
      </c>
      <c r="C66" s="277"/>
      <c r="D66" s="277"/>
      <c r="E66" s="277"/>
      <c r="F66" s="277"/>
      <c r="G66" s="277"/>
    </row>
    <row r="67" spans="1:13" ht="6" customHeight="1" x14ac:dyDescent="0.25">
      <c r="A67" s="170"/>
      <c r="B67" s="68"/>
      <c r="C67" s="64"/>
      <c r="D67" s="64"/>
      <c r="E67" s="64"/>
      <c r="F67" s="64"/>
      <c r="G67" s="64"/>
    </row>
    <row r="68" spans="1:13" ht="55.2" customHeight="1" x14ac:dyDescent="0.25">
      <c r="A68" s="63" t="s">
        <v>182</v>
      </c>
      <c r="B68" s="276" t="s">
        <v>206</v>
      </c>
      <c r="C68" s="276"/>
      <c r="D68" s="276"/>
      <c r="E68" s="276"/>
      <c r="F68" s="276"/>
      <c r="G68" s="276"/>
      <c r="H68" s="64"/>
      <c r="I68" s="69"/>
    </row>
    <row r="69" spans="1:13" ht="6" customHeight="1" x14ac:dyDescent="0.3">
      <c r="A69" s="65"/>
      <c r="B69" s="66"/>
      <c r="C69" s="67"/>
      <c r="D69" s="67"/>
      <c r="E69" s="67"/>
      <c r="F69" s="67"/>
      <c r="G69" s="67"/>
      <c r="H69" s="67"/>
    </row>
    <row r="70" spans="1:13" ht="29.1" customHeight="1" x14ac:dyDescent="0.25">
      <c r="A70" s="63" t="s">
        <v>183</v>
      </c>
      <c r="B70" s="279" t="s">
        <v>207</v>
      </c>
      <c r="C70" s="278"/>
      <c r="D70" s="278"/>
      <c r="E70" s="278"/>
      <c r="F70" s="278"/>
      <c r="G70" s="278"/>
      <c r="H70" s="69"/>
      <c r="I70" s="64"/>
    </row>
    <row r="71" spans="1:13" ht="6" customHeight="1" x14ac:dyDescent="0.3">
      <c r="A71" s="65"/>
      <c r="B71" s="66"/>
      <c r="C71" s="67"/>
      <c r="D71" s="67"/>
      <c r="E71" s="67"/>
      <c r="F71" s="67"/>
      <c r="G71" s="67"/>
      <c r="H71" s="67"/>
    </row>
    <row r="72" spans="1:13" ht="67.2" customHeight="1" x14ac:dyDescent="0.25">
      <c r="A72" s="63" t="s">
        <v>17</v>
      </c>
      <c r="B72" s="276" t="s">
        <v>208</v>
      </c>
      <c r="C72" s="278"/>
      <c r="D72" s="278"/>
      <c r="E72" s="278"/>
      <c r="F72" s="278"/>
      <c r="G72" s="278"/>
      <c r="H72" s="69"/>
      <c r="I72" s="64"/>
    </row>
    <row r="73" spans="1:13" ht="6" customHeight="1" x14ac:dyDescent="0.3">
      <c r="A73" s="65"/>
      <c r="B73" s="64"/>
      <c r="C73" s="64"/>
      <c r="D73" s="64"/>
      <c r="E73" s="64"/>
      <c r="F73" s="64"/>
      <c r="G73" s="64"/>
      <c r="H73" s="64"/>
    </row>
    <row r="74" spans="1:13" ht="15" customHeight="1" x14ac:dyDescent="0.25">
      <c r="A74" s="63" t="s">
        <v>18</v>
      </c>
      <c r="B74" s="279" t="s">
        <v>209</v>
      </c>
      <c r="C74" s="278"/>
      <c r="D74" s="278"/>
      <c r="E74" s="278"/>
      <c r="F74" s="278"/>
      <c r="G74" s="278"/>
      <c r="H74" s="69"/>
      <c r="I74" s="67"/>
    </row>
    <row r="75" spans="1:13" ht="6" customHeight="1" x14ac:dyDescent="0.3">
      <c r="A75" s="65"/>
      <c r="B75" s="67"/>
      <c r="C75" s="64"/>
      <c r="D75" s="64"/>
      <c r="E75" s="64"/>
      <c r="F75" s="64"/>
      <c r="G75" s="64"/>
      <c r="H75" s="64"/>
    </row>
    <row r="76" spans="1:13" ht="54" customHeight="1" x14ac:dyDescent="0.25">
      <c r="A76" s="63" t="s">
        <v>184</v>
      </c>
      <c r="B76" s="276" t="s">
        <v>210</v>
      </c>
      <c r="C76" s="276"/>
      <c r="D76" s="276"/>
      <c r="E76" s="276"/>
      <c r="F76" s="276"/>
      <c r="G76" s="276"/>
      <c r="H76" s="68"/>
    </row>
    <row r="77" spans="1:13" ht="6" customHeight="1" x14ac:dyDescent="0.3">
      <c r="A77" s="65"/>
      <c r="B77" s="64"/>
      <c r="C77" s="64"/>
      <c r="D77" s="64"/>
      <c r="E77" s="64"/>
      <c r="F77" s="64"/>
      <c r="G77" s="64"/>
      <c r="H77" s="64"/>
      <c r="J77" s="23"/>
      <c r="L77" s="24"/>
      <c r="M77" s="24"/>
    </row>
    <row r="78" spans="1:13" ht="82.2" customHeight="1" x14ac:dyDescent="0.3">
      <c r="A78" s="70" t="s">
        <v>185</v>
      </c>
      <c r="B78" s="276" t="s">
        <v>211</v>
      </c>
      <c r="C78" s="277"/>
      <c r="D78" s="277"/>
      <c r="E78" s="277"/>
      <c r="F78" s="277"/>
      <c r="G78" s="277"/>
      <c r="H78" s="64"/>
      <c r="L78" s="24"/>
      <c r="M78" s="24"/>
    </row>
    <row r="79" spans="1:13" ht="6" customHeight="1" x14ac:dyDescent="0.3">
      <c r="A79" s="65"/>
      <c r="B79" s="64"/>
      <c r="C79" s="64"/>
      <c r="D79" s="64"/>
      <c r="E79" s="64"/>
      <c r="F79" s="64"/>
      <c r="G79" s="64"/>
      <c r="H79" s="64"/>
      <c r="J79" s="23"/>
      <c r="L79" s="24"/>
      <c r="M79" s="24"/>
    </row>
    <row r="80" spans="1:13" ht="95.1" customHeight="1" x14ac:dyDescent="0.3">
      <c r="A80" s="63" t="s">
        <v>186</v>
      </c>
      <c r="B80" s="276" t="s">
        <v>215</v>
      </c>
      <c r="C80" s="278"/>
      <c r="D80" s="278"/>
      <c r="E80" s="278"/>
      <c r="F80" s="278"/>
      <c r="G80" s="278"/>
      <c r="H80" s="69"/>
      <c r="J80" s="23"/>
      <c r="L80" s="24"/>
      <c r="M80" s="24"/>
    </row>
    <row r="81" spans="1:13" ht="6" customHeight="1" x14ac:dyDescent="0.3">
      <c r="A81" s="65"/>
      <c r="B81" s="64"/>
      <c r="C81" s="64"/>
      <c r="D81" s="64"/>
      <c r="E81" s="64"/>
      <c r="F81" s="64"/>
      <c r="G81" s="64"/>
      <c r="H81" s="64"/>
      <c r="J81" s="23"/>
      <c r="L81" s="24"/>
      <c r="M81" s="24"/>
    </row>
    <row r="82" spans="1:13" ht="27" customHeight="1" x14ac:dyDescent="0.3">
      <c r="A82" s="70" t="s">
        <v>187</v>
      </c>
      <c r="B82" s="279" t="s">
        <v>212</v>
      </c>
      <c r="C82" s="278"/>
      <c r="D82" s="278"/>
      <c r="E82" s="278"/>
      <c r="F82" s="278"/>
      <c r="G82" s="278"/>
      <c r="H82" s="69"/>
      <c r="J82" s="23"/>
      <c r="L82" s="24"/>
      <c r="M82" s="24"/>
    </row>
    <row r="83" spans="1:13" ht="6" customHeight="1" x14ac:dyDescent="0.3">
      <c r="A83" s="65"/>
      <c r="B83" s="64"/>
      <c r="C83" s="64"/>
      <c r="D83" s="64"/>
      <c r="E83" s="64"/>
      <c r="F83" s="64"/>
      <c r="G83" s="64"/>
      <c r="H83" s="64"/>
      <c r="J83" s="23"/>
      <c r="L83" s="24"/>
      <c r="M83" s="24"/>
    </row>
    <row r="84" spans="1:13" s="25" customFormat="1" ht="27" customHeight="1" x14ac:dyDescent="0.3">
      <c r="A84" s="70" t="s">
        <v>188</v>
      </c>
      <c r="B84" s="279" t="s">
        <v>213</v>
      </c>
      <c r="C84" s="278"/>
      <c r="D84" s="278"/>
      <c r="E84" s="278"/>
      <c r="F84" s="278"/>
      <c r="G84" s="278"/>
      <c r="H84" s="69"/>
      <c r="J84" s="26"/>
      <c r="L84" s="27"/>
      <c r="M84" s="27"/>
    </row>
    <row r="85" spans="1:13" s="25" customFormat="1" ht="6" customHeight="1" x14ac:dyDescent="0.3">
      <c r="A85" s="70"/>
      <c r="B85" s="71"/>
      <c r="C85" s="69"/>
      <c r="D85" s="69"/>
      <c r="E85" s="69"/>
      <c r="F85" s="69"/>
      <c r="G85" s="69"/>
      <c r="H85" s="69"/>
      <c r="J85" s="26"/>
      <c r="L85" s="27"/>
      <c r="M85" s="27"/>
    </row>
    <row r="86" spans="1:13" ht="42" customHeight="1" x14ac:dyDescent="0.3">
      <c r="A86" s="70" t="s">
        <v>16</v>
      </c>
      <c r="B86" s="279" t="s">
        <v>214</v>
      </c>
      <c r="C86" s="278"/>
      <c r="D86" s="278"/>
      <c r="E86" s="278"/>
      <c r="F86" s="278"/>
      <c r="G86" s="278"/>
      <c r="J86" s="23"/>
      <c r="L86" s="24"/>
      <c r="M86" s="24"/>
    </row>
    <row r="87" spans="1:13" ht="6" customHeight="1" x14ac:dyDescent="0.3">
      <c r="A87" s="70"/>
      <c r="B87" s="71"/>
      <c r="C87" s="69"/>
      <c r="D87" s="69"/>
      <c r="E87" s="69"/>
      <c r="F87" s="69"/>
      <c r="G87" s="69"/>
      <c r="J87" s="23"/>
      <c r="L87" s="24"/>
      <c r="M87" s="24"/>
    </row>
    <row r="88" spans="1:13" ht="66" customHeight="1" x14ac:dyDescent="0.3">
      <c r="A88" s="70" t="s">
        <v>468</v>
      </c>
      <c r="B88" s="279" t="s">
        <v>478</v>
      </c>
      <c r="C88" s="278"/>
      <c r="D88" s="278"/>
      <c r="E88" s="278"/>
      <c r="F88" s="278"/>
      <c r="G88" s="278"/>
      <c r="J88" s="23"/>
      <c r="L88" s="24"/>
      <c r="M88" s="24"/>
    </row>
    <row r="95" spans="1:13" ht="13.8" x14ac:dyDescent="0.3">
      <c r="C95" s="22"/>
      <c r="D95" s="22"/>
    </row>
    <row r="96" spans="1:13" ht="13.8" x14ac:dyDescent="0.3">
      <c r="C96" s="22"/>
      <c r="D96" s="22"/>
    </row>
    <row r="97" spans="3:4" ht="13.8" x14ac:dyDescent="0.3">
      <c r="C97" s="22"/>
      <c r="D97" s="22"/>
    </row>
    <row r="98" spans="3:4" ht="13.8" x14ac:dyDescent="0.3">
      <c r="C98" s="22"/>
      <c r="D98" s="22"/>
    </row>
    <row r="99" spans="3:4" ht="13.8" x14ac:dyDescent="0.3">
      <c r="C99" s="22"/>
      <c r="D99" s="22"/>
    </row>
    <row r="100" spans="3:4" ht="13.8" x14ac:dyDescent="0.3">
      <c r="C100" s="21"/>
      <c r="D100" s="21"/>
    </row>
    <row r="101" spans="3:4" ht="13.8" x14ac:dyDescent="0.3">
      <c r="C101" s="28"/>
      <c r="D101" s="28"/>
    </row>
    <row r="102" spans="3:4" ht="13.8" x14ac:dyDescent="0.3">
      <c r="C102" s="20"/>
      <c r="D102" s="20"/>
    </row>
    <row r="103" spans="3:4" ht="13.8" x14ac:dyDescent="0.3">
      <c r="C103" s="19"/>
      <c r="D103" s="19"/>
    </row>
    <row r="104" spans="3:4" ht="13.8" x14ac:dyDescent="0.3">
      <c r="C104" s="22"/>
      <c r="D104" s="22"/>
    </row>
    <row r="105" spans="3:4" ht="13.8" x14ac:dyDescent="0.3">
      <c r="C105" s="20"/>
      <c r="D105" s="20"/>
    </row>
    <row r="106" spans="3:4" ht="13.8" x14ac:dyDescent="0.3">
      <c r="C106" s="19"/>
      <c r="D106" s="19"/>
    </row>
    <row r="107" spans="3:4" ht="13.8" x14ac:dyDescent="0.3">
      <c r="C107" s="20"/>
      <c r="D107" s="20"/>
    </row>
    <row r="108" spans="3:4" ht="13.8" x14ac:dyDescent="0.3">
      <c r="C108" s="20"/>
      <c r="D108" s="20"/>
    </row>
    <row r="109" spans="3:4" ht="13.8" x14ac:dyDescent="0.3">
      <c r="C109" s="22"/>
      <c r="D109" s="22"/>
    </row>
    <row r="110" spans="3:4" ht="13.8" x14ac:dyDescent="0.3">
      <c r="C110" s="20"/>
      <c r="D110" s="20"/>
    </row>
    <row r="111" spans="3:4" ht="13.8" x14ac:dyDescent="0.3">
      <c r="C111" s="22"/>
      <c r="D111" s="22"/>
    </row>
    <row r="112" spans="3:4" ht="13.8" x14ac:dyDescent="0.3">
      <c r="C112" s="19"/>
      <c r="D112" s="19"/>
    </row>
    <row r="113" spans="3:4" ht="13.8" x14ac:dyDescent="0.3">
      <c r="C113" s="20"/>
      <c r="D113" s="20"/>
    </row>
    <row r="114" spans="3:4" ht="13.8" x14ac:dyDescent="0.3">
      <c r="C114" s="20"/>
      <c r="D114" s="20"/>
    </row>
    <row r="115" spans="3:4" ht="13.8" x14ac:dyDescent="0.3">
      <c r="C115" s="22"/>
      <c r="D115" s="22"/>
    </row>
    <row r="116" spans="3:4" ht="13.8" x14ac:dyDescent="0.3">
      <c r="C116" s="20"/>
      <c r="D116" s="20"/>
    </row>
    <row r="117" spans="3:4" ht="13.8" x14ac:dyDescent="0.3">
      <c r="C117" s="19"/>
      <c r="D117" s="19"/>
    </row>
    <row r="118" spans="3:4" ht="13.8" x14ac:dyDescent="0.3">
      <c r="C118" s="22"/>
      <c r="D118" s="22"/>
    </row>
    <row r="119" spans="3:4" ht="13.8" x14ac:dyDescent="0.3">
      <c r="C119" s="20"/>
      <c r="D119" s="20"/>
    </row>
    <row r="120" spans="3:4" ht="13.8" x14ac:dyDescent="0.3">
      <c r="C120" s="20"/>
      <c r="D120" s="20"/>
    </row>
    <row r="121" spans="3:4" ht="13.8" x14ac:dyDescent="0.3">
      <c r="C121" s="19"/>
      <c r="D121" s="19"/>
    </row>
    <row r="122" spans="3:4" ht="13.8" x14ac:dyDescent="0.3">
      <c r="C122" s="22"/>
      <c r="D122" s="22"/>
    </row>
    <row r="123" spans="3:4" ht="13.8" x14ac:dyDescent="0.3">
      <c r="C123" s="22"/>
      <c r="D123" s="22"/>
    </row>
    <row r="124" spans="3:4" ht="13.8" x14ac:dyDescent="0.3">
      <c r="C124" s="22"/>
      <c r="D124" s="22"/>
    </row>
    <row r="125" spans="3:4" ht="13.8" x14ac:dyDescent="0.3">
      <c r="C125" s="22"/>
      <c r="D125" s="22"/>
    </row>
    <row r="126" spans="3:4" ht="13.8" x14ac:dyDescent="0.3">
      <c r="C126" s="22"/>
      <c r="D126" s="22"/>
    </row>
    <row r="127" spans="3:4" ht="13.8" x14ac:dyDescent="0.3">
      <c r="C127" s="22"/>
      <c r="D127" s="22"/>
    </row>
    <row r="128" spans="3:4" ht="13.8" x14ac:dyDescent="0.3">
      <c r="C128" s="22"/>
      <c r="D128" s="22"/>
    </row>
    <row r="129" spans="3:4" ht="13.8" x14ac:dyDescent="0.3">
      <c r="C129" s="19"/>
      <c r="D129" s="19"/>
    </row>
    <row r="130" spans="3:4" ht="13.8" x14ac:dyDescent="0.3">
      <c r="C130" s="22"/>
      <c r="D130" s="22"/>
    </row>
    <row r="131" spans="3:4" ht="13.8" x14ac:dyDescent="0.3">
      <c r="C131" s="22"/>
      <c r="D131" s="22"/>
    </row>
    <row r="132" spans="3:4" ht="13.8" x14ac:dyDescent="0.3">
      <c r="C132" s="22"/>
      <c r="D132" s="22"/>
    </row>
    <row r="133" spans="3:4" ht="13.8" x14ac:dyDescent="0.3">
      <c r="C133" s="22"/>
      <c r="D133" s="22"/>
    </row>
    <row r="134" spans="3:4" ht="13.8" x14ac:dyDescent="0.3">
      <c r="C134" s="22"/>
      <c r="D134" s="22"/>
    </row>
    <row r="135" spans="3:4" ht="13.8" x14ac:dyDescent="0.3">
      <c r="C135" s="19"/>
      <c r="D135" s="19"/>
    </row>
    <row r="136" spans="3:4" ht="13.8" x14ac:dyDescent="0.3">
      <c r="C136" s="22"/>
      <c r="D136" s="22"/>
    </row>
    <row r="137" spans="3:4" ht="13.8" x14ac:dyDescent="0.3">
      <c r="C137" s="20"/>
      <c r="D137" s="20"/>
    </row>
    <row r="138" spans="3:4" ht="13.8" x14ac:dyDescent="0.3">
      <c r="C138" s="22"/>
      <c r="D138" s="22"/>
    </row>
    <row r="139" spans="3:4" ht="13.8" x14ac:dyDescent="0.3">
      <c r="C139" s="22"/>
      <c r="D139" s="22"/>
    </row>
    <row r="140" spans="3:4" ht="13.8" x14ac:dyDescent="0.3">
      <c r="C140" s="22"/>
      <c r="D140" s="22"/>
    </row>
    <row r="141" spans="3:4" ht="13.8" x14ac:dyDescent="0.3">
      <c r="C141" s="22"/>
      <c r="D141" s="22"/>
    </row>
    <row r="142" spans="3:4" ht="13.8" x14ac:dyDescent="0.3">
      <c r="C142" s="22"/>
      <c r="D142" s="22"/>
    </row>
    <row r="143" spans="3:4" ht="13.8" x14ac:dyDescent="0.3">
      <c r="C143" s="19"/>
      <c r="D143" s="19"/>
    </row>
    <row r="144" spans="3:4" ht="13.8" x14ac:dyDescent="0.3">
      <c r="C144" s="22"/>
      <c r="D144" s="22"/>
    </row>
    <row r="145" spans="3:4" ht="13.8" x14ac:dyDescent="0.3">
      <c r="C145" s="22"/>
      <c r="D145" s="22"/>
    </row>
    <row r="146" spans="3:4" ht="13.8" x14ac:dyDescent="0.3">
      <c r="C146" s="20"/>
      <c r="D146" s="20"/>
    </row>
    <row r="147" spans="3:4" ht="13.8" x14ac:dyDescent="0.3">
      <c r="C147" s="20"/>
      <c r="D147" s="20"/>
    </row>
    <row r="148" spans="3:4" ht="13.8" x14ac:dyDescent="0.3">
      <c r="C148" s="20"/>
      <c r="D148" s="20"/>
    </row>
    <row r="149" spans="3:4" ht="13.8" x14ac:dyDescent="0.3">
      <c r="C149" s="22"/>
      <c r="D149" s="22"/>
    </row>
    <row r="150" spans="3:4" ht="13.8" x14ac:dyDescent="0.3">
      <c r="C150" s="20"/>
      <c r="D150" s="20"/>
    </row>
    <row r="151" spans="3:4" ht="13.8" x14ac:dyDescent="0.3">
      <c r="C151" s="22"/>
      <c r="D151" s="22"/>
    </row>
    <row r="152" spans="3:4" ht="13.8" x14ac:dyDescent="0.3">
      <c r="C152" s="20"/>
      <c r="D152" s="20"/>
    </row>
    <row r="153" spans="3:4" ht="13.8" x14ac:dyDescent="0.3">
      <c r="C153" s="20"/>
      <c r="D153" s="20"/>
    </row>
    <row r="154" spans="3:4" ht="13.8" x14ac:dyDescent="0.3">
      <c r="C154" s="20"/>
      <c r="D154" s="20"/>
    </row>
  </sheetData>
  <sheetProtection algorithmName="SHA-512" hashValue="LUeJPKDuYqxQgNbiMz7hY0ZfYh3bZcnQGYH+ZxCMK9hD2VUjYBGQ48qHfNZw96UUTrHj/I7ET4TcbHC+VopO0w==" saltValue="x+MRj66ceTlIWCpToUVoPg==" spinCount="100000" sheet="1" objects="1" scenarios="1"/>
  <mergeCells count="13">
    <mergeCell ref="B88:G88"/>
    <mergeCell ref="B74:G74"/>
    <mergeCell ref="B86:G86"/>
    <mergeCell ref="B76:G76"/>
    <mergeCell ref="B80:G80"/>
    <mergeCell ref="B84:G84"/>
    <mergeCell ref="A65:B65"/>
    <mergeCell ref="B78:G78"/>
    <mergeCell ref="B72:G72"/>
    <mergeCell ref="B82:G82"/>
    <mergeCell ref="B70:G70"/>
    <mergeCell ref="B68:G68"/>
    <mergeCell ref="B66:G66"/>
  </mergeCells>
  <phoneticPr fontId="9" type="noConversion"/>
  <conditionalFormatting sqref="H58">
    <cfRule type="expression" dxfId="28" priority="1">
      <formula>$E$58=0</formula>
    </cfRule>
  </conditionalFormatting>
  <pageMargins left="0.5" right="0.5" top="0.2" bottom="0.2" header="0.5" footer="0.15"/>
  <pageSetup orientation="landscape" r:id="rId1"/>
  <headerFooter alignWithMargins="0"/>
  <rowBreaks count="1" manualBreakCount="1">
    <brk id="64" max="8" man="1"/>
  </rowBreaks>
  <ignoredErrors>
    <ignoredError sqref="C26 C43:C49 C34:C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32"/>
  <sheetViews>
    <sheetView showGridLines="0" zoomScale="118" zoomScaleNormal="118" workbookViewId="0">
      <selection activeCell="A24" sqref="A24:I24"/>
    </sheetView>
  </sheetViews>
  <sheetFormatPr defaultRowHeight="13.2" x14ac:dyDescent="0.25"/>
  <cols>
    <col min="1" max="1" width="36.6640625" customWidth="1"/>
    <col min="2" max="2" width="1.33203125" customWidth="1"/>
    <col min="3" max="3" width="9.6640625" bestFit="1" customWidth="1"/>
    <col min="4" max="4" width="1.33203125" customWidth="1"/>
    <col min="5" max="5" width="15.44140625" bestFit="1" customWidth="1"/>
    <col min="6" max="6" width="1.33203125" customWidth="1"/>
    <col min="7" max="7" width="15.44140625" bestFit="1" customWidth="1"/>
    <col min="8" max="8" width="1.33203125" customWidth="1"/>
    <col min="9" max="9" width="16" bestFit="1" customWidth="1"/>
    <col min="10" max="10" width="6.6640625" customWidth="1"/>
    <col min="11" max="11" width="12.6640625" customWidth="1"/>
    <col min="12" max="12" width="1.33203125" customWidth="1"/>
    <col min="13" max="13" width="12.6640625" customWidth="1"/>
    <col min="14" max="14" width="1.33203125" customWidth="1"/>
    <col min="15" max="15" width="12.6640625" customWidth="1"/>
    <col min="16" max="16" width="6.6640625" customWidth="1"/>
    <col min="17" max="18" width="9.33203125" hidden="1" customWidth="1"/>
    <col min="19" max="19" width="8.88671875" customWidth="1"/>
  </cols>
  <sheetData>
    <row r="1" spans="1:21" x14ac:dyDescent="0.25">
      <c r="A1" s="53" t="str">
        <f>Info!B5</f>
        <v>APPALACHIAN STATE UNIVERSITY</v>
      </c>
      <c r="B1" s="53"/>
      <c r="C1" s="18"/>
      <c r="D1" s="18"/>
      <c r="E1" s="18"/>
      <c r="F1" s="18"/>
      <c r="G1" s="18"/>
      <c r="H1" s="18"/>
      <c r="I1" s="18"/>
      <c r="K1" s="1"/>
    </row>
    <row r="2" spans="1:21" ht="15" customHeight="1" x14ac:dyDescent="0.25">
      <c r="A2" s="54" t="s">
        <v>232</v>
      </c>
      <c r="B2" s="54"/>
      <c r="C2" s="18"/>
      <c r="D2" s="18"/>
      <c r="E2" s="18"/>
      <c r="F2" s="18"/>
      <c r="H2" s="18"/>
      <c r="I2" s="18"/>
    </row>
    <row r="3" spans="1:21" ht="15" customHeight="1" x14ac:dyDescent="0.25">
      <c r="A3" s="53" t="s">
        <v>819</v>
      </c>
      <c r="B3" s="53"/>
      <c r="C3" s="18"/>
      <c r="D3" s="18"/>
      <c r="E3" s="18"/>
      <c r="F3" s="18"/>
      <c r="G3" s="18"/>
      <c r="H3" s="18"/>
    </row>
    <row r="4" spans="1:21" ht="15" customHeight="1" x14ac:dyDescent="0.3">
      <c r="A4" s="53"/>
      <c r="B4" s="53"/>
      <c r="C4" s="18"/>
      <c r="D4" s="18"/>
      <c r="E4" s="18"/>
      <c r="F4" s="18"/>
      <c r="G4" s="87"/>
      <c r="H4" s="18"/>
    </row>
    <row r="5" spans="1:21" ht="15" customHeight="1" x14ac:dyDescent="0.25">
      <c r="A5" s="53"/>
      <c r="B5" s="53"/>
      <c r="C5" s="18"/>
      <c r="D5" s="18"/>
      <c r="E5" s="18"/>
      <c r="F5" s="18"/>
      <c r="G5" s="18"/>
      <c r="H5" s="18"/>
      <c r="I5" s="72" t="s">
        <v>143</v>
      </c>
      <c r="K5" s="280"/>
      <c r="L5" s="280"/>
      <c r="M5" s="280"/>
      <c r="N5" s="280"/>
      <c r="O5" s="280"/>
      <c r="P5" s="126"/>
      <c r="Q5" s="126"/>
      <c r="R5" s="126"/>
      <c r="S5" s="126"/>
      <c r="T5" s="126"/>
      <c r="U5" s="126"/>
    </row>
    <row r="6" spans="1:21" ht="15" customHeight="1" x14ac:dyDescent="0.25">
      <c r="A6" s="18"/>
      <c r="B6" s="18"/>
      <c r="C6" s="78" t="str">
        <f>IF(Info!B$10=2,"Colleague","NCFS")</f>
        <v>NCFS</v>
      </c>
      <c r="D6" s="18"/>
      <c r="E6" s="18"/>
      <c r="F6" s="18"/>
      <c r="G6" s="18"/>
      <c r="H6" s="18"/>
      <c r="I6" s="72" t="s">
        <v>153</v>
      </c>
      <c r="K6" s="281"/>
      <c r="L6" s="281"/>
      <c r="M6" s="281"/>
      <c r="N6" s="281"/>
      <c r="O6" s="281"/>
      <c r="Q6" s="173" t="s">
        <v>244</v>
      </c>
    </row>
    <row r="7" spans="1:21" ht="15" customHeight="1" x14ac:dyDescent="0.25">
      <c r="A7" s="76" t="s">
        <v>141</v>
      </c>
      <c r="B7" s="77"/>
      <c r="C7" s="76" t="s">
        <v>128</v>
      </c>
      <c r="D7" s="78"/>
      <c r="E7" s="76" t="s">
        <v>0</v>
      </c>
      <c r="F7" s="78"/>
      <c r="G7" s="76" t="s">
        <v>1</v>
      </c>
      <c r="H7" s="78"/>
      <c r="I7" s="73" t="s">
        <v>142</v>
      </c>
      <c r="J7" s="3"/>
      <c r="K7" s="75"/>
      <c r="L7" s="75"/>
      <c r="M7" s="75"/>
      <c r="N7" s="75"/>
      <c r="O7" s="75"/>
      <c r="P7" s="75"/>
      <c r="Q7" s="90" t="s">
        <v>816</v>
      </c>
      <c r="R7" s="89" t="s">
        <v>156</v>
      </c>
    </row>
    <row r="8" spans="1:21" ht="15" customHeight="1" x14ac:dyDescent="0.25">
      <c r="A8" s="79" t="s">
        <v>200</v>
      </c>
      <c r="B8" s="79"/>
      <c r="C8" s="80">
        <f>IF(Info!B$10=2,Summary!R8,Summary!Q8)</f>
        <v>22916000</v>
      </c>
      <c r="D8" s="80"/>
      <c r="E8" s="81">
        <f>SUMIF(Detail!$C$8:$C$62,$C8,Detail!E$8:E$62)</f>
        <v>0</v>
      </c>
      <c r="F8" s="82"/>
      <c r="G8" s="81">
        <f>SUMIF(Detail!$C$8:$C$62,$C8,Detail!F$8:F$62)</f>
        <v>87327884</v>
      </c>
      <c r="H8" s="82"/>
      <c r="I8" s="46">
        <f t="shared" ref="I8:I17" si="0">E8-G8</f>
        <v>-87327884</v>
      </c>
      <c r="J8" s="186"/>
      <c r="K8" s="81"/>
      <c r="L8" s="81"/>
      <c r="M8" s="81"/>
      <c r="O8" s="81"/>
      <c r="Q8">
        <v>22916000</v>
      </c>
      <c r="R8">
        <v>242081</v>
      </c>
    </row>
    <row r="9" spans="1:21" ht="15" customHeight="1" x14ac:dyDescent="0.25">
      <c r="A9" s="79" t="s">
        <v>193</v>
      </c>
      <c r="B9" s="79"/>
      <c r="C9" s="80">
        <f>IF(Info!B$10=2,Summary!R9,Summary!Q9)</f>
        <v>61100009</v>
      </c>
      <c r="D9" s="80"/>
      <c r="E9" s="50">
        <f>SUMIF(Detail!$C$8:$C$62,$C9,Detail!E$8:E$62)</f>
        <v>60193758</v>
      </c>
      <c r="F9" s="82"/>
      <c r="G9" s="50">
        <f>SUMIF(Detail!$C$8:$C$62,$C9,Detail!F$8:F$62)</f>
        <v>18163616</v>
      </c>
      <c r="H9" s="82"/>
      <c r="I9" s="47">
        <f>E9-G9</f>
        <v>42030142</v>
      </c>
      <c r="J9" s="187"/>
      <c r="K9" s="50"/>
      <c r="L9" s="50"/>
      <c r="M9" s="50"/>
      <c r="O9" s="50"/>
      <c r="Q9" s="240">
        <v>61100009</v>
      </c>
      <c r="R9">
        <v>124091</v>
      </c>
    </row>
    <row r="10" spans="1:21" ht="15" customHeight="1" x14ac:dyDescent="0.25">
      <c r="A10" s="79" t="s">
        <v>195</v>
      </c>
      <c r="B10" s="79"/>
      <c r="C10" s="80">
        <f>IF(Info!B$10=2,Summary!R10,Summary!Q10)</f>
        <v>71100011</v>
      </c>
      <c r="D10" s="80"/>
      <c r="E10" s="50">
        <f>SUMIF(Detail!$C$8:$C$62,$C10,Detail!E$8:E$62)</f>
        <v>28568757</v>
      </c>
      <c r="F10" s="82"/>
      <c r="G10" s="50">
        <f>SUMIF(Detail!$C$8:$C$62,$C10,Detail!F$8:F$62)</f>
        <v>0</v>
      </c>
      <c r="H10" s="82"/>
      <c r="I10" s="47">
        <f>E10-G10</f>
        <v>28568757</v>
      </c>
      <c r="J10" s="187"/>
      <c r="K10" s="50"/>
      <c r="L10" s="50"/>
      <c r="M10" s="50"/>
      <c r="O10" s="50"/>
      <c r="Q10" s="240">
        <v>71100011</v>
      </c>
      <c r="R10">
        <v>242091</v>
      </c>
    </row>
    <row r="11" spans="1:21" ht="15" customHeight="1" x14ac:dyDescent="0.25">
      <c r="A11" s="79" t="s">
        <v>199</v>
      </c>
      <c r="B11" s="79"/>
      <c r="C11" s="80">
        <f>IF(Info!B$10=2,Summary!R11,Summary!Q11)</f>
        <v>51598000</v>
      </c>
      <c r="D11" s="80"/>
      <c r="E11" s="50">
        <f>SUMIF(Detail!$C$8:$C$62,$C11,Detail!E$8:E$62)</f>
        <v>16842553</v>
      </c>
      <c r="F11" s="82"/>
      <c r="G11" s="50">
        <f>SUMIF(Detail!$C$8:$C$62,$C11,Detail!F$8:F$62)</f>
        <v>0</v>
      </c>
      <c r="H11" s="82"/>
      <c r="I11" s="47">
        <f t="shared" si="0"/>
        <v>16842553</v>
      </c>
      <c r="J11" s="187"/>
      <c r="K11" s="50"/>
      <c r="L11" s="50"/>
      <c r="M11" s="50"/>
      <c r="O11" s="50"/>
      <c r="Q11">
        <v>51598000</v>
      </c>
      <c r="R11">
        <v>518251</v>
      </c>
    </row>
    <row r="12" spans="1:21" ht="15" customHeight="1" x14ac:dyDescent="0.25">
      <c r="A12" s="79" t="s">
        <v>233</v>
      </c>
      <c r="B12" s="79"/>
      <c r="C12" s="80">
        <f>IF(Info!B$10=2,Summary!R12,Summary!Q12)</f>
        <v>51520000</v>
      </c>
      <c r="D12" s="80"/>
      <c r="E12" s="50">
        <f>SUMIF(Detail!$C$8:$C$62,$C12,Detail!E$8:E$62)</f>
        <v>0</v>
      </c>
      <c r="F12" s="82"/>
      <c r="G12" s="50">
        <f>SUMIF(Detail!$C$8:$C$62,$C12,Detail!F$8:F$62)</f>
        <v>0</v>
      </c>
      <c r="H12" s="82"/>
      <c r="I12" s="47">
        <f t="shared" si="0"/>
        <v>0</v>
      </c>
      <c r="J12" s="187"/>
      <c r="K12" s="50"/>
      <c r="L12" s="50"/>
      <c r="M12" s="50"/>
      <c r="O12" s="50"/>
      <c r="Q12">
        <v>51520000</v>
      </c>
      <c r="R12">
        <v>518200</v>
      </c>
    </row>
    <row r="13" spans="1:21" ht="15" hidden="1" customHeight="1" x14ac:dyDescent="0.25">
      <c r="A13" s="79" t="s">
        <v>127</v>
      </c>
      <c r="B13" s="79"/>
      <c r="C13" s="80">
        <f>IF(Info!B$10=2,Summary!R13,Summary!Q13)</f>
        <v>55900000</v>
      </c>
      <c r="D13" s="80"/>
      <c r="E13" s="50">
        <f>SUMIF(Detail!$C$8:$C$62,$C13,Detail!E$8:E$62)</f>
        <v>0</v>
      </c>
      <c r="F13" s="82"/>
      <c r="G13" s="50">
        <f>SUMIF(Detail!$C$8:$C$62,$C13,Detail!F$8:F$62)</f>
        <v>0</v>
      </c>
      <c r="H13" s="82"/>
      <c r="I13" s="47">
        <f>E13-G13</f>
        <v>0</v>
      </c>
      <c r="J13" s="187"/>
      <c r="K13" s="50"/>
      <c r="L13" s="50"/>
      <c r="M13" s="50"/>
      <c r="O13" s="50"/>
      <c r="Q13">
        <v>55900000</v>
      </c>
      <c r="R13">
        <v>379000</v>
      </c>
    </row>
    <row r="14" spans="1:21" ht="15" customHeight="1" x14ac:dyDescent="0.25">
      <c r="A14" s="79" t="s">
        <v>470</v>
      </c>
      <c r="B14" s="79"/>
      <c r="C14" s="80">
        <f>IF(Info!B$10=2,Summary!R14,Summary!Q14)</f>
        <v>55900000</v>
      </c>
      <c r="D14" s="80"/>
      <c r="E14" s="50">
        <f>SUMIF(Detail!$C$8:$C$62,$C14,Detail!E$8:E$62)</f>
        <v>0</v>
      </c>
      <c r="F14" s="82"/>
      <c r="G14" s="50">
        <f>SUMIF(Detail!$C$8:$C$62,$C14,Detail!F$8:F$62)</f>
        <v>0</v>
      </c>
      <c r="H14" s="82"/>
      <c r="I14" s="47">
        <f t="shared" si="0"/>
        <v>0</v>
      </c>
      <c r="J14" s="187"/>
      <c r="K14" s="50"/>
      <c r="L14" s="50"/>
      <c r="M14" s="50"/>
      <c r="O14" s="50"/>
      <c r="Q14" s="153">
        <v>55900000</v>
      </c>
      <c r="R14">
        <v>539600</v>
      </c>
    </row>
    <row r="15" spans="1:21" ht="15" customHeight="1" x14ac:dyDescent="0.25">
      <c r="A15" s="79" t="s">
        <v>471</v>
      </c>
      <c r="B15" s="79"/>
      <c r="C15" s="153">
        <f>IF(Info!B$10=2,Summary!R15,Summary!Q15)</f>
        <v>47995000</v>
      </c>
      <c r="D15" s="80"/>
      <c r="E15" s="50">
        <f>SUMIF(Detail!$C$8:$C$62,$C15,Detail!E$8:E$62)</f>
        <v>0</v>
      </c>
      <c r="F15" s="82"/>
      <c r="G15" s="50">
        <f>SUMIF(Detail!$C$8:$C$62,$C15,Detail!F$8:F$62)</f>
        <v>0</v>
      </c>
      <c r="H15" s="82"/>
      <c r="I15" s="47">
        <f t="shared" si="0"/>
        <v>0</v>
      </c>
      <c r="J15" s="187"/>
      <c r="K15" s="50"/>
      <c r="L15" s="50"/>
      <c r="M15" s="50"/>
      <c r="O15" s="50"/>
      <c r="Q15" s="153">
        <v>47995000</v>
      </c>
      <c r="R15">
        <v>493200</v>
      </c>
    </row>
    <row r="16" spans="1:21" ht="15" customHeight="1" x14ac:dyDescent="0.25">
      <c r="A16" s="200" t="s">
        <v>472</v>
      </c>
      <c r="B16" s="200"/>
      <c r="C16" s="201">
        <f>IF(Info!B$10=2,Summary!R16,Summary!Q16)</f>
        <v>46207000</v>
      </c>
      <c r="D16" s="201"/>
      <c r="E16" s="202">
        <f>SUMIF(Detail!$C$8:$C$62,$C16,Detail!E$8:E$62)</f>
        <v>0</v>
      </c>
      <c r="F16" s="203"/>
      <c r="G16" s="206">
        <f>SUMIF(Detail!$C$8:$C$62,$C16,Detail!F$8:F$62)</f>
        <v>113568</v>
      </c>
      <c r="H16" s="203"/>
      <c r="I16" s="202">
        <f t="shared" ref="I16" si="1">E16-G16</f>
        <v>-113568</v>
      </c>
      <c r="J16" s="187"/>
      <c r="K16" s="50"/>
      <c r="L16" s="50"/>
      <c r="M16" s="50"/>
      <c r="O16" s="50"/>
      <c r="Q16" s="153">
        <v>46207000</v>
      </c>
      <c r="R16">
        <v>493351</v>
      </c>
    </row>
    <row r="17" spans="1:18" ht="15" customHeight="1" x14ac:dyDescent="0.25">
      <c r="A17" s="79" t="s">
        <v>127</v>
      </c>
      <c r="B17" s="79"/>
      <c r="C17" s="80">
        <f>IF(Info!B$10=2,Summary!R17,Summary!Q17)</f>
        <v>32000100</v>
      </c>
      <c r="D17" s="80"/>
      <c r="E17" s="50">
        <f>SUMIF(Detail!$C$24:$C$62,$C17,Detail!E$24:E$62)</f>
        <v>0</v>
      </c>
      <c r="F17" s="82"/>
      <c r="G17" s="50">
        <f>SUMIF(Detail!$C$24:$C$62,$C17,Detail!F$24:F$62)</f>
        <v>0</v>
      </c>
      <c r="H17" s="82"/>
      <c r="I17" s="74">
        <f t="shared" si="0"/>
        <v>0</v>
      </c>
      <c r="J17" s="187"/>
      <c r="K17" s="50"/>
      <c r="L17" s="50"/>
      <c r="M17" s="50"/>
      <c r="N17" s="50"/>
      <c r="O17" s="50"/>
      <c r="P17" s="50"/>
      <c r="Q17">
        <v>32000100</v>
      </c>
      <c r="R17">
        <v>379000</v>
      </c>
    </row>
    <row r="18" spans="1:18" ht="15" customHeight="1" thickBot="1" x14ac:dyDescent="0.3">
      <c r="A18" s="84" t="s">
        <v>4</v>
      </c>
      <c r="B18" s="84"/>
      <c r="C18" s="85"/>
      <c r="D18" s="85"/>
      <c r="E18" s="86">
        <f>SUM(E8:E17)</f>
        <v>105605068</v>
      </c>
      <c r="F18" s="82"/>
      <c r="G18" s="86">
        <f>SUM(G8:G17)</f>
        <v>105605068</v>
      </c>
      <c r="H18" s="82"/>
      <c r="I18" s="194">
        <f>SUM(I8:I17)</f>
        <v>0</v>
      </c>
      <c r="J18" s="186"/>
      <c r="K18" s="81"/>
      <c r="L18" s="81"/>
      <c r="M18" s="81"/>
      <c r="N18" s="81"/>
      <c r="O18" s="81"/>
      <c r="P18" s="81"/>
    </row>
    <row r="19" spans="1:18" ht="15" customHeight="1" thickTop="1" x14ac:dyDescent="0.25"/>
    <row r="20" spans="1:18" ht="15" customHeight="1" x14ac:dyDescent="0.25">
      <c r="A20" s="154" t="s">
        <v>192</v>
      </c>
    </row>
    <row r="21" spans="1:18" ht="105" customHeight="1" x14ac:dyDescent="0.25">
      <c r="A21" s="282" t="s">
        <v>855</v>
      </c>
      <c r="B21" s="283"/>
      <c r="C21" s="283"/>
      <c r="D21" s="283"/>
      <c r="E21" s="283"/>
      <c r="F21" s="283"/>
      <c r="G21" s="283"/>
      <c r="H21" s="283"/>
      <c r="I21" s="283"/>
    </row>
    <row r="22" spans="1:18" ht="10.199999999999999" customHeight="1" x14ac:dyDescent="0.25"/>
    <row r="24" spans="1:18" s="192" customFormat="1" ht="118.2" customHeight="1" x14ac:dyDescent="0.25">
      <c r="A24" s="284" t="s">
        <v>473</v>
      </c>
      <c r="B24" s="284"/>
      <c r="C24" s="284"/>
      <c r="D24" s="284"/>
      <c r="E24" s="284"/>
      <c r="F24" s="284"/>
      <c r="G24" s="284"/>
      <c r="H24" s="284"/>
      <c r="I24" s="284"/>
    </row>
    <row r="29" spans="1:18" x14ac:dyDescent="0.25">
      <c r="A29" s="155"/>
    </row>
    <row r="30" spans="1:18" x14ac:dyDescent="0.25">
      <c r="A30" s="155"/>
    </row>
    <row r="31" spans="1:18" x14ac:dyDescent="0.25">
      <c r="A31" s="155"/>
    </row>
    <row r="32" spans="1:18" x14ac:dyDescent="0.25">
      <c r="A32" s="155"/>
    </row>
  </sheetData>
  <sheetProtection algorithmName="SHA-512" hashValue="PiPsoxo9EPvo1rjxLeXSebdLxbbnlh0C/8L6M63EiWeIGqhpzvYwoPmKbRD0SYZQYbeKEMnrx9s4P2wVs+C1lg==" saltValue="QXIuOf1yUvc9z6y4BLd3zQ==" spinCount="100000" sheet="1" objects="1" scenarios="1"/>
  <mergeCells count="4">
    <mergeCell ref="K5:O5"/>
    <mergeCell ref="K6:O6"/>
    <mergeCell ref="A21:I21"/>
    <mergeCell ref="A24:I24"/>
  </mergeCells>
  <phoneticPr fontId="9" type="noConversion"/>
  <pageMargins left="0.5" right="0.5" top="0.3" bottom="0.35" header="0.5" footer="0.15"/>
  <pageSetup orientation="portrait" r:id="rId1"/>
  <headerFooter>
    <oddFooter>&amp;L&amp;"Arial Narrow,Regular"&amp;9&amp;Z&amp;F&amp;R&amp;"Arial Narrow,Regular"&amp;9&amp;D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1"/>
  <sheetViews>
    <sheetView showGridLines="0" workbookViewId="0">
      <selection activeCell="B43" sqref="B43"/>
    </sheetView>
  </sheetViews>
  <sheetFormatPr defaultRowHeight="13.2" x14ac:dyDescent="0.25"/>
  <cols>
    <col min="1" max="1" width="2.6640625" customWidth="1"/>
    <col min="2" max="2" width="35.6640625" customWidth="1"/>
    <col min="3" max="3" width="4.33203125" hidden="1" customWidth="1"/>
    <col min="4" max="4" width="15.6640625" customWidth="1"/>
    <col min="5" max="5" width="1.33203125" customWidth="1"/>
    <col min="6" max="6" width="4.33203125" hidden="1" customWidth="1"/>
    <col min="7" max="7" width="15.6640625" customWidth="1"/>
    <col min="8" max="8" width="4.6640625" customWidth="1"/>
    <col min="9" max="9" width="1.6640625" customWidth="1"/>
    <col min="10" max="10" width="15.5546875" bestFit="1" customWidth="1"/>
    <col min="11" max="11" width="1.6640625" customWidth="1"/>
    <col min="12" max="12" width="11.6640625" bestFit="1" customWidth="1"/>
    <col min="13" max="13" width="1.33203125" customWidth="1"/>
    <col min="14" max="14" width="15.6640625" customWidth="1"/>
    <col min="15" max="15" width="1.33203125" customWidth="1"/>
    <col min="16" max="16" width="15.6640625" customWidth="1"/>
    <col min="17" max="17" width="1.33203125" customWidth="1"/>
    <col min="18" max="18" width="11.6640625" customWidth="1"/>
    <col min="19" max="19" width="1.33203125" customWidth="1"/>
    <col min="20" max="20" width="11.6640625" customWidth="1"/>
    <col min="21" max="21" width="1.33203125" customWidth="1"/>
    <col min="22" max="22" width="11.6640625" customWidth="1"/>
    <col min="23" max="23" width="1.33203125" customWidth="1"/>
    <col min="24" max="24" width="11.6640625" bestFit="1" customWidth="1"/>
    <col min="25" max="25" width="1.33203125" customWidth="1"/>
    <col min="26" max="26" width="10.33203125" bestFit="1" customWidth="1"/>
  </cols>
  <sheetData>
    <row r="1" spans="1:26" x14ac:dyDescent="0.25">
      <c r="A1" s="1" t="str">
        <f>Info!B5</f>
        <v>APPALACHIAN STATE UNIVERSITY</v>
      </c>
    </row>
    <row r="2" spans="1:26" x14ac:dyDescent="0.25">
      <c r="A2" s="1" t="s">
        <v>235</v>
      </c>
    </row>
    <row r="3" spans="1:26" x14ac:dyDescent="0.25">
      <c r="A3" s="1" t="s">
        <v>819</v>
      </c>
    </row>
    <row r="4" spans="1:26" ht="17.399999999999999" x14ac:dyDescent="0.3">
      <c r="A4" s="1"/>
      <c r="G4" s="55"/>
    </row>
    <row r="5" spans="1:26" ht="8.1" customHeight="1" x14ac:dyDescent="0.25">
      <c r="A5" s="1"/>
    </row>
    <row r="6" spans="1:26" x14ac:dyDescent="0.25">
      <c r="A6" s="2" t="s">
        <v>27</v>
      </c>
      <c r="B6" s="92" t="s">
        <v>147</v>
      </c>
      <c r="C6" s="93"/>
      <c r="D6" s="93"/>
      <c r="E6" s="93"/>
      <c r="F6" s="93"/>
      <c r="G6" s="93"/>
      <c r="H6" s="94"/>
    </row>
    <row r="7" spans="1:26" x14ac:dyDescent="0.25">
      <c r="A7" s="2"/>
      <c r="B7" s="95" t="s">
        <v>216</v>
      </c>
      <c r="C7" s="18"/>
      <c r="D7" s="18"/>
      <c r="E7" s="18"/>
      <c r="F7" s="18"/>
      <c r="G7" s="18"/>
      <c r="H7" s="96"/>
      <c r="J7" s="4" t="s">
        <v>30</v>
      </c>
      <c r="K7" s="4"/>
    </row>
    <row r="8" spans="1:26" x14ac:dyDescent="0.25">
      <c r="B8" s="97"/>
      <c r="C8" s="18"/>
      <c r="D8" s="18"/>
      <c r="E8" s="18"/>
      <c r="F8" s="18"/>
      <c r="G8" s="18"/>
      <c r="H8" s="96"/>
      <c r="J8" s="4" t="s">
        <v>146</v>
      </c>
      <c r="K8" s="4"/>
      <c r="L8" s="285"/>
      <c r="M8" s="285"/>
      <c r="N8" s="285"/>
    </row>
    <row r="9" spans="1:26" x14ac:dyDescent="0.25">
      <c r="B9" s="98"/>
      <c r="C9" s="91"/>
      <c r="D9" s="85" t="s">
        <v>6</v>
      </c>
      <c r="E9" s="91"/>
      <c r="F9" s="91"/>
      <c r="G9" s="85" t="s">
        <v>7</v>
      </c>
      <c r="H9" s="96"/>
      <c r="J9" s="4" t="s">
        <v>145</v>
      </c>
      <c r="K9" s="4"/>
      <c r="L9" s="285"/>
      <c r="M9" s="285"/>
      <c r="N9" s="285"/>
      <c r="O9" s="285"/>
      <c r="P9" s="285"/>
      <c r="R9" s="285"/>
      <c r="S9" s="285"/>
      <c r="T9" s="285"/>
      <c r="U9" s="285"/>
      <c r="V9" s="285"/>
      <c r="X9" s="285"/>
      <c r="Y9" s="285"/>
      <c r="Z9" s="285"/>
    </row>
    <row r="10" spans="1:26" x14ac:dyDescent="0.25">
      <c r="B10" s="98"/>
      <c r="C10" s="99" t="s">
        <v>14</v>
      </c>
      <c r="D10" s="100" t="s">
        <v>5</v>
      </c>
      <c r="E10" s="85"/>
      <c r="F10" s="100" t="s">
        <v>14</v>
      </c>
      <c r="G10" s="100" t="s">
        <v>5</v>
      </c>
      <c r="H10" s="96"/>
      <c r="J10" s="14" t="s">
        <v>217</v>
      </c>
      <c r="K10" s="4"/>
      <c r="L10" s="5"/>
      <c r="N10" s="5"/>
      <c r="P10" s="5"/>
      <c r="R10" s="5"/>
      <c r="T10" s="5"/>
      <c r="V10" s="5"/>
      <c r="X10" s="5"/>
      <c r="Z10" s="5"/>
    </row>
    <row r="11" spans="1:26" x14ac:dyDescent="0.25">
      <c r="B11" s="95" t="s">
        <v>8</v>
      </c>
      <c r="C11" s="101"/>
      <c r="D11" s="81"/>
      <c r="E11" s="18"/>
      <c r="F11" s="101"/>
      <c r="G11" s="102"/>
      <c r="H11" s="96"/>
      <c r="J11" s="15"/>
      <c r="K11" s="15"/>
    </row>
    <row r="12" spans="1:26" x14ac:dyDescent="0.25">
      <c r="B12" s="95" t="s">
        <v>9</v>
      </c>
      <c r="C12" s="101">
        <v>1</v>
      </c>
      <c r="D12" s="81">
        <f>Detail!E13+SUMIF(Detail!$D$24:$D$62,$C12,Detail!E$24:E$62)-SUMIF(Detail!$D$24:$D$62,$C12,Detail!F$24:F$62)</f>
        <v>3042484</v>
      </c>
      <c r="E12" s="18"/>
      <c r="F12" s="101">
        <v>6</v>
      </c>
      <c r="G12" s="102">
        <f>Detail!F16+SUMIF(Detail!$D$24:$D$62,$F12,Detail!F$24:F$62)-SUMIF(Detail!$D$24:$D$62,$F12,Detail!E$24:E$62)</f>
        <v>0</v>
      </c>
      <c r="H12" s="96"/>
      <c r="J12" s="15">
        <f>D12-G12</f>
        <v>3042484</v>
      </c>
      <c r="K12" s="15"/>
      <c r="L12" s="81"/>
      <c r="N12" s="81"/>
      <c r="P12" s="81"/>
      <c r="R12" s="81"/>
      <c r="T12" s="81"/>
      <c r="V12" s="81"/>
      <c r="X12" s="15"/>
      <c r="Z12" s="15"/>
    </row>
    <row r="13" spans="1:26" x14ac:dyDescent="0.25">
      <c r="B13" s="98"/>
      <c r="C13" s="101"/>
      <c r="D13" s="103"/>
      <c r="E13" s="18"/>
      <c r="F13" s="101"/>
      <c r="G13" s="104"/>
      <c r="H13" s="96"/>
      <c r="Z13" s="15"/>
    </row>
    <row r="14" spans="1:26" x14ac:dyDescent="0.25">
      <c r="B14" s="95" t="s">
        <v>132</v>
      </c>
      <c r="C14" s="101">
        <v>2</v>
      </c>
      <c r="D14" s="50">
        <f>Detail!E11+SUMIF(Detail!$D$24:$D$62,$C14,Detail!E$24:E$62)-SUMIF(Detail!$D$24:$D$62,$C14,Detail!F$24:F$62)</f>
        <v>89902085</v>
      </c>
      <c r="E14" s="18"/>
      <c r="F14" s="101">
        <v>7</v>
      </c>
      <c r="G14" s="50">
        <f>Detail!F18+SUMIF(Detail!$D$24:$D$62,$F14,Detail!F$24:F$62)-SUMIF(Detail!$D$24:$D$62,$F14,Detail!E$24:E$62)</f>
        <v>48668642</v>
      </c>
      <c r="H14" s="96"/>
      <c r="J14" s="50">
        <f>D14-G14</f>
        <v>41233443</v>
      </c>
      <c r="K14" s="50"/>
      <c r="L14" s="50"/>
      <c r="N14" s="50"/>
      <c r="P14" s="50"/>
      <c r="R14" s="50"/>
      <c r="T14" s="50"/>
      <c r="V14" s="50"/>
      <c r="X14" s="16"/>
      <c r="Z14" s="16"/>
    </row>
    <row r="15" spans="1:26" x14ac:dyDescent="0.25">
      <c r="B15" s="98"/>
      <c r="C15" s="101"/>
      <c r="D15" s="103"/>
      <c r="E15" s="18"/>
      <c r="F15" s="101"/>
      <c r="G15" s="104"/>
      <c r="H15" s="96"/>
      <c r="X15" s="16"/>
      <c r="Z15" s="15"/>
    </row>
    <row r="16" spans="1:26" ht="12.75" customHeight="1" x14ac:dyDescent="0.25">
      <c r="B16" s="184" t="s">
        <v>10</v>
      </c>
      <c r="C16" s="101"/>
      <c r="D16" s="50"/>
      <c r="E16" s="18"/>
      <c r="F16" s="101"/>
      <c r="G16" s="50"/>
      <c r="H16" s="96"/>
      <c r="J16" s="16"/>
      <c r="K16" s="16"/>
      <c r="N16" s="291"/>
      <c r="O16" s="291"/>
      <c r="P16" s="291"/>
      <c r="X16" s="16"/>
      <c r="Z16" s="15"/>
    </row>
    <row r="17" spans="2:26" x14ac:dyDescent="0.25">
      <c r="B17" s="184" t="s">
        <v>218</v>
      </c>
      <c r="C17" s="101"/>
      <c r="D17" s="103"/>
      <c r="E17" s="18"/>
      <c r="F17" s="101"/>
      <c r="G17" s="104"/>
      <c r="H17" s="96"/>
      <c r="N17" s="4"/>
      <c r="O17" s="2"/>
      <c r="P17" s="4"/>
      <c r="X17" s="16"/>
      <c r="Z17" s="15"/>
    </row>
    <row r="18" spans="2:26" x14ac:dyDescent="0.25">
      <c r="B18" s="184" t="s">
        <v>139</v>
      </c>
      <c r="C18" s="101">
        <v>3</v>
      </c>
      <c r="D18" s="50">
        <f>Detail!E12+SUMIF(Detail!$D$24:$D$62,$C18,Detail!E$24:E$62)-SUMIF(Detail!$D$24:$D$62,$C18,Detail!F$24:F$62)</f>
        <v>1599584</v>
      </c>
      <c r="E18" s="18"/>
      <c r="F18" s="101">
        <v>8</v>
      </c>
      <c r="G18" s="50">
        <f>Detail!F17+SUMIF(Detail!$D$24:$D$62,$F18,Detail!F$24:F$62)-SUMIF(Detail!$D$24:$D$62,$F18,Detail!E$24:E$62)</f>
        <v>0</v>
      </c>
      <c r="H18" s="96"/>
      <c r="J18" s="50">
        <f>D18-G18</f>
        <v>1599584</v>
      </c>
      <c r="K18" s="50"/>
      <c r="L18" s="50"/>
      <c r="N18" s="50"/>
      <c r="P18" s="50"/>
      <c r="R18" s="50"/>
      <c r="T18" s="50"/>
      <c r="V18" s="50"/>
      <c r="X18" s="16"/>
      <c r="Z18" s="16"/>
    </row>
    <row r="19" spans="2:26" x14ac:dyDescent="0.25">
      <c r="B19" s="98"/>
      <c r="C19" s="101"/>
      <c r="D19" s="103"/>
      <c r="E19" s="18"/>
      <c r="F19" s="101"/>
      <c r="G19" s="104"/>
      <c r="H19" s="96"/>
      <c r="X19" s="16"/>
      <c r="Z19" s="15"/>
    </row>
    <row r="20" spans="2:26" x14ac:dyDescent="0.25">
      <c r="B20" s="95" t="s">
        <v>19</v>
      </c>
      <c r="C20" s="101"/>
      <c r="D20" s="50"/>
      <c r="E20" s="18"/>
      <c r="F20" s="101"/>
      <c r="G20" s="50"/>
      <c r="H20" s="96"/>
      <c r="J20" s="16"/>
      <c r="K20" s="16"/>
      <c r="X20" s="16"/>
      <c r="Z20" s="15"/>
    </row>
    <row r="21" spans="2:26" x14ac:dyDescent="0.25">
      <c r="B21" s="95" t="s">
        <v>20</v>
      </c>
      <c r="C21" s="101"/>
      <c r="D21" s="103"/>
      <c r="E21" s="18"/>
      <c r="F21" s="101"/>
      <c r="G21" s="104"/>
      <c r="H21" s="96"/>
      <c r="X21" s="16"/>
      <c r="Z21" s="15"/>
    </row>
    <row r="22" spans="2:26" x14ac:dyDescent="0.25">
      <c r="B22" s="95" t="s">
        <v>21</v>
      </c>
      <c r="C22" s="101">
        <v>4</v>
      </c>
      <c r="D22" s="50">
        <f>Detail!E10+SUMIF(Detail!$D$24:$D$62,$C22,Detail!E$24:E$62)-SUMIF(Detail!$D$24:$D$62,$C22,Detail!F$24:F$62)</f>
        <v>16112456</v>
      </c>
      <c r="E22" s="18"/>
      <c r="F22" s="101">
        <v>9</v>
      </c>
      <c r="G22" s="50">
        <f>Detail!F19+SUMIF(Detail!$D$24:$D$62,$F22,Detail!F$24:F$62)-SUMIF(Detail!$D$24:$D$62,$F22,Detail!E$24:E$62)</f>
        <v>1326259</v>
      </c>
      <c r="H22" s="96"/>
      <c r="J22" s="83">
        <f>D22-G22</f>
        <v>14786197</v>
      </c>
      <c r="K22" s="50"/>
      <c r="L22" s="50"/>
      <c r="N22" s="50"/>
      <c r="P22" s="50"/>
      <c r="R22" s="50"/>
      <c r="T22" s="50"/>
      <c r="V22" s="50"/>
      <c r="X22" s="16"/>
      <c r="Z22" s="16"/>
    </row>
    <row r="23" spans="2:26" ht="13.8" thickBot="1" x14ac:dyDescent="0.3">
      <c r="B23" s="95"/>
      <c r="C23" s="101"/>
      <c r="D23" s="103"/>
      <c r="E23" s="18"/>
      <c r="F23" s="101"/>
      <c r="G23" s="104"/>
      <c r="H23" s="96"/>
      <c r="J23" s="210">
        <f>J12+J14+J18+J22</f>
        <v>60661708</v>
      </c>
      <c r="K23" s="15"/>
      <c r="X23" s="15"/>
      <c r="Z23" s="15"/>
    </row>
    <row r="24" spans="2:26" ht="13.8" thickTop="1" x14ac:dyDescent="0.25">
      <c r="B24" s="95" t="s">
        <v>11</v>
      </c>
      <c r="C24" s="101"/>
      <c r="D24" s="50"/>
      <c r="E24" s="18"/>
      <c r="F24" s="101"/>
      <c r="G24" s="50"/>
      <c r="H24" s="96"/>
      <c r="J24" s="16"/>
      <c r="K24" s="16"/>
      <c r="X24" s="16"/>
    </row>
    <row r="25" spans="2:26" ht="13.8" x14ac:dyDescent="0.3">
      <c r="B25" s="95" t="s">
        <v>12</v>
      </c>
      <c r="C25" s="101">
        <v>5</v>
      </c>
      <c r="D25" s="50">
        <f>SUMIF(Detail!$D$24:$D$62,$C25,Detail!E$24:E$62)</f>
        <v>0</v>
      </c>
      <c r="E25" s="18"/>
      <c r="F25" s="101"/>
      <c r="G25" s="50">
        <v>0</v>
      </c>
      <c r="H25" s="96"/>
      <c r="J25" s="50"/>
      <c r="K25" s="50"/>
      <c r="L25" s="129"/>
      <c r="N25" s="129"/>
      <c r="P25" s="50"/>
      <c r="R25" s="50"/>
      <c r="T25" s="50"/>
      <c r="V25" s="50"/>
      <c r="X25" s="16"/>
    </row>
    <row r="26" spans="2:26" ht="14.7" customHeight="1" thickBot="1" x14ac:dyDescent="0.3">
      <c r="B26" s="105" t="s">
        <v>13</v>
      </c>
      <c r="C26" s="18"/>
      <c r="D26" s="106">
        <f>SUM(D12:D25)</f>
        <v>110656609</v>
      </c>
      <c r="E26" s="18"/>
      <c r="F26" s="18"/>
      <c r="G26" s="106">
        <f>SUM(G12:G25)</f>
        <v>49994901</v>
      </c>
      <c r="H26" s="96"/>
      <c r="J26" s="4"/>
      <c r="K26" s="4"/>
      <c r="L26" s="52"/>
      <c r="N26" s="52"/>
      <c r="P26" s="52"/>
      <c r="R26" s="52"/>
      <c r="T26" s="52"/>
      <c r="V26" s="52"/>
    </row>
    <row r="27" spans="2:26" ht="14.7" customHeight="1" thickTop="1" x14ac:dyDescent="0.25">
      <c r="B27" s="105"/>
      <c r="C27" s="18"/>
      <c r="D27" s="52"/>
      <c r="E27" s="18"/>
      <c r="F27" s="18"/>
      <c r="G27" s="52"/>
      <c r="H27" s="96"/>
      <c r="J27" s="52"/>
      <c r="K27" s="52"/>
    </row>
    <row r="28" spans="2:26" ht="64.2" customHeight="1" x14ac:dyDescent="0.25">
      <c r="B28" s="295" t="s">
        <v>219</v>
      </c>
      <c r="C28" s="296"/>
      <c r="D28" s="296"/>
      <c r="E28" s="296"/>
      <c r="F28" s="296"/>
      <c r="G28" s="296"/>
      <c r="H28" s="297"/>
      <c r="J28" s="52"/>
      <c r="K28" s="52"/>
      <c r="L28" s="294"/>
      <c r="M28" s="294"/>
      <c r="N28" s="294"/>
      <c r="O28" s="294"/>
      <c r="P28" s="294"/>
      <c r="Q28" s="294"/>
    </row>
    <row r="29" spans="2:26" x14ac:dyDescent="0.25">
      <c r="B29" s="105"/>
      <c r="C29" s="18"/>
      <c r="D29" s="52"/>
      <c r="E29" s="18"/>
      <c r="F29" s="18"/>
      <c r="G29" s="52"/>
      <c r="H29" s="96"/>
    </row>
    <row r="30" spans="2:26" x14ac:dyDescent="0.25">
      <c r="B30" s="107" t="s">
        <v>220</v>
      </c>
      <c r="C30" s="18"/>
      <c r="D30" s="52"/>
      <c r="E30" s="18"/>
      <c r="F30" s="18"/>
      <c r="G30" s="52"/>
      <c r="H30" s="96"/>
    </row>
    <row r="31" spans="2:26" ht="12.75" customHeight="1" x14ac:dyDescent="0.25">
      <c r="B31" s="108"/>
      <c r="C31" s="109"/>
      <c r="D31" s="109"/>
      <c r="E31" s="109"/>
      <c r="F31" s="109"/>
      <c r="G31" s="109"/>
      <c r="H31" s="110"/>
    </row>
    <row r="32" spans="2:26" ht="15.75" customHeight="1" x14ac:dyDescent="0.25">
      <c r="B32" s="2"/>
    </row>
    <row r="33" spans="1:16" x14ac:dyDescent="0.25">
      <c r="A33" s="2" t="s">
        <v>28</v>
      </c>
      <c r="B33" s="92" t="s">
        <v>148</v>
      </c>
      <c r="C33" s="93"/>
      <c r="D33" s="93"/>
      <c r="E33" s="93"/>
      <c r="F33" s="93"/>
      <c r="G33" s="93"/>
      <c r="H33" s="94"/>
    </row>
    <row r="34" spans="1:16" x14ac:dyDescent="0.25">
      <c r="A34" s="2"/>
      <c r="B34" s="95" t="s">
        <v>149</v>
      </c>
      <c r="C34" s="18"/>
      <c r="D34" s="18"/>
      <c r="E34" s="18"/>
      <c r="F34" s="18"/>
      <c r="G34" s="18"/>
      <c r="H34" s="96"/>
    </row>
    <row r="35" spans="1:16" x14ac:dyDescent="0.25">
      <c r="A35" s="2"/>
      <c r="B35" s="95" t="s">
        <v>221</v>
      </c>
      <c r="C35" s="18"/>
      <c r="D35" s="18"/>
      <c r="E35" s="18"/>
      <c r="F35" s="18"/>
      <c r="G35" s="18"/>
      <c r="H35" s="96"/>
    </row>
    <row r="36" spans="1:16" x14ac:dyDescent="0.25">
      <c r="B36" s="111"/>
      <c r="C36" s="18"/>
      <c r="D36" s="18"/>
      <c r="E36" s="18"/>
      <c r="F36" s="18"/>
      <c r="G36" s="18"/>
      <c r="H36" s="96"/>
      <c r="L36" s="5"/>
      <c r="N36" s="5"/>
      <c r="P36" s="5"/>
    </row>
    <row r="37" spans="1:16" x14ac:dyDescent="0.25">
      <c r="B37" s="95" t="s">
        <v>29</v>
      </c>
      <c r="C37" s="18"/>
      <c r="D37" s="85"/>
      <c r="E37" s="18"/>
      <c r="F37" s="18"/>
      <c r="G37" s="18"/>
      <c r="H37" s="96"/>
    </row>
    <row r="38" spans="1:16" ht="13.8" x14ac:dyDescent="0.3">
      <c r="B38" s="105">
        <v>2026</v>
      </c>
      <c r="C38" s="18"/>
      <c r="D38" s="81">
        <f>VLOOKUP(Info!B9,Data!B:X,16,FALSE)</f>
        <v>1955780</v>
      </c>
      <c r="E38" s="18"/>
      <c r="F38" s="65"/>
      <c r="G38" s="18"/>
      <c r="H38" s="96"/>
      <c r="L38" s="81"/>
      <c r="N38" s="81"/>
      <c r="P38" s="15"/>
    </row>
    <row r="39" spans="1:16" ht="13.8" x14ac:dyDescent="0.3">
      <c r="B39" s="105">
        <v>2027</v>
      </c>
      <c r="C39" s="18"/>
      <c r="D39" s="112">
        <f>VLOOKUP(Info!B9,Data!B:X,17,FALSE)</f>
        <v>12111713</v>
      </c>
      <c r="E39" s="18"/>
      <c r="F39" s="65"/>
      <c r="G39" s="18"/>
      <c r="H39" s="96"/>
      <c r="L39" s="112"/>
      <c r="N39" s="112"/>
      <c r="P39" s="112"/>
    </row>
    <row r="40" spans="1:16" ht="13.8" x14ac:dyDescent="0.3">
      <c r="B40" s="105">
        <v>2028</v>
      </c>
      <c r="C40" s="18"/>
      <c r="D40" s="112">
        <f>VLOOKUP(Info!B9,Data!B:X,18,FALSE)</f>
        <v>27329867</v>
      </c>
      <c r="E40" s="18"/>
      <c r="F40" s="65"/>
      <c r="G40" s="18"/>
      <c r="H40" s="96"/>
      <c r="L40" s="112"/>
      <c r="N40" s="112"/>
      <c r="P40" s="112"/>
    </row>
    <row r="41" spans="1:16" ht="13.8" x14ac:dyDescent="0.3">
      <c r="B41" s="105">
        <v>2029</v>
      </c>
      <c r="C41" s="18"/>
      <c r="D41" s="112">
        <f>VLOOKUP(Info!B9,Data!B:X,19,FALSE)</f>
        <v>19264347</v>
      </c>
      <c r="E41" s="18"/>
      <c r="F41" s="65"/>
      <c r="G41" s="91"/>
      <c r="H41" s="96"/>
      <c r="K41" s="2"/>
      <c r="L41" s="112"/>
      <c r="N41" s="112"/>
      <c r="P41" s="112"/>
    </row>
    <row r="42" spans="1:16" ht="13.8" x14ac:dyDescent="0.3">
      <c r="B42" s="105">
        <v>2030</v>
      </c>
      <c r="C42" s="18"/>
      <c r="D42" s="113">
        <f>VLOOKUP(Info!B9,Data!B:W,20,FALSE)+VLOOKUP(Info!B9,Data!B:W,22,FALSE)</f>
        <v>1</v>
      </c>
      <c r="E42" s="18"/>
      <c r="F42" s="65"/>
      <c r="G42" s="18"/>
      <c r="H42" s="96"/>
      <c r="J42" s="128" t="s">
        <v>134</v>
      </c>
      <c r="L42" s="112"/>
      <c r="N42" s="112"/>
      <c r="P42" s="112"/>
    </row>
    <row r="43" spans="1:16" ht="14.7" customHeight="1" thickBot="1" x14ac:dyDescent="0.35">
      <c r="B43" s="114" t="s">
        <v>13</v>
      </c>
      <c r="C43" s="18"/>
      <c r="D43" s="210">
        <f>SUM(D38:D42)</f>
        <v>60661708</v>
      </c>
      <c r="E43" s="18"/>
      <c r="F43" s="65"/>
      <c r="G43" s="18"/>
      <c r="H43" s="96"/>
      <c r="L43" s="15"/>
      <c r="N43" s="15"/>
      <c r="P43" s="15"/>
    </row>
    <row r="44" spans="1:16" ht="8.1" customHeight="1" thickTop="1" x14ac:dyDescent="0.25">
      <c r="B44" s="98"/>
      <c r="C44" s="18"/>
      <c r="D44" s="18"/>
      <c r="E44" s="18"/>
      <c r="F44" s="18"/>
      <c r="G44" s="18"/>
      <c r="H44" s="96"/>
    </row>
    <row r="45" spans="1:16" x14ac:dyDescent="0.25">
      <c r="B45" s="95" t="s">
        <v>222</v>
      </c>
      <c r="C45" s="18"/>
      <c r="D45" s="18"/>
      <c r="E45" s="18"/>
      <c r="F45" s="18"/>
      <c r="G45" s="18"/>
      <c r="H45" s="96"/>
    </row>
    <row r="46" spans="1:16" x14ac:dyDescent="0.25">
      <c r="B46" s="95" t="s">
        <v>223</v>
      </c>
      <c r="C46" s="18"/>
      <c r="D46" s="18"/>
      <c r="E46" s="18"/>
      <c r="F46" s="18"/>
      <c r="G46" s="18"/>
      <c r="H46" s="96"/>
    </row>
    <row r="47" spans="1:16" x14ac:dyDescent="0.25">
      <c r="B47" s="95"/>
      <c r="C47" s="18"/>
      <c r="D47" s="18"/>
      <c r="E47" s="18"/>
      <c r="F47" s="18"/>
      <c r="G47" s="18"/>
      <c r="H47" s="96"/>
    </row>
    <row r="48" spans="1:16" x14ac:dyDescent="0.25">
      <c r="B48" s="116" t="s">
        <v>224</v>
      </c>
      <c r="C48" s="18"/>
      <c r="D48" s="18"/>
      <c r="E48" s="18"/>
      <c r="F48" s="18"/>
      <c r="G48" s="18"/>
      <c r="H48" s="96"/>
    </row>
    <row r="49" spans="1:16" ht="12.75" customHeight="1" x14ac:dyDescent="0.25">
      <c r="B49" s="117"/>
      <c r="C49" s="109"/>
      <c r="D49" s="109"/>
      <c r="E49" s="109"/>
      <c r="F49" s="109"/>
      <c r="G49" s="109"/>
      <c r="H49" s="110"/>
    </row>
    <row r="50" spans="1:16" ht="15.75" customHeight="1" x14ac:dyDescent="0.25"/>
    <row r="51" spans="1:16" x14ac:dyDescent="0.25">
      <c r="A51" s="2" t="s">
        <v>31</v>
      </c>
      <c r="B51" s="92" t="s">
        <v>150</v>
      </c>
      <c r="C51" s="93"/>
      <c r="D51" s="93"/>
      <c r="E51" s="93"/>
      <c r="F51" s="93"/>
      <c r="G51" s="93"/>
      <c r="H51" s="94"/>
    </row>
    <row r="52" spans="1:16" x14ac:dyDescent="0.25">
      <c r="A52" s="2"/>
      <c r="B52" s="95" t="s">
        <v>225</v>
      </c>
      <c r="C52" s="18"/>
      <c r="D52" s="18"/>
      <c r="E52" s="18"/>
      <c r="F52" s="18"/>
      <c r="G52" s="18"/>
      <c r="H52" s="96"/>
    </row>
    <row r="53" spans="1:16" x14ac:dyDescent="0.25">
      <c r="A53" s="2"/>
      <c r="B53" s="118" t="s">
        <v>853</v>
      </c>
      <c r="C53" s="18"/>
      <c r="D53" s="18"/>
      <c r="E53" s="18"/>
      <c r="F53" s="18"/>
      <c r="G53" s="18"/>
      <c r="H53" s="96"/>
    </row>
    <row r="54" spans="1:16" x14ac:dyDescent="0.25">
      <c r="B54" s="98"/>
      <c r="C54" s="18"/>
      <c r="D54" s="18"/>
      <c r="E54" s="18"/>
      <c r="F54" s="18"/>
      <c r="G54" s="18"/>
      <c r="H54" s="96"/>
      <c r="L54" s="5"/>
      <c r="N54" s="5"/>
      <c r="P54" s="5"/>
    </row>
    <row r="55" spans="1:16" ht="14.4" thickBot="1" x14ac:dyDescent="0.35">
      <c r="B55" s="95" t="s">
        <v>32</v>
      </c>
      <c r="C55" s="18"/>
      <c r="D55" s="119">
        <f>D25</f>
        <v>0</v>
      </c>
      <c r="E55" s="18"/>
      <c r="F55" s="65"/>
      <c r="G55" s="91"/>
      <c r="H55" s="96"/>
      <c r="J55" s="128" t="s">
        <v>133</v>
      </c>
      <c r="K55" s="2"/>
      <c r="L55" s="16"/>
      <c r="N55" s="16"/>
      <c r="P55" s="15"/>
    </row>
    <row r="56" spans="1:16" ht="13.8" thickTop="1" x14ac:dyDescent="0.25">
      <c r="B56" s="95"/>
      <c r="C56" s="18"/>
      <c r="D56" s="81"/>
      <c r="E56" s="18"/>
      <c r="F56" s="18"/>
      <c r="G56" s="18"/>
      <c r="H56" s="96"/>
    </row>
    <row r="57" spans="1:16" x14ac:dyDescent="0.25">
      <c r="B57" s="116" t="s">
        <v>226</v>
      </c>
      <c r="C57" s="18"/>
      <c r="D57" s="81"/>
      <c r="E57" s="18"/>
      <c r="F57" s="18"/>
      <c r="G57" s="18"/>
      <c r="H57" s="96"/>
    </row>
    <row r="58" spans="1:16" ht="12.75" customHeight="1" x14ac:dyDescent="0.25">
      <c r="B58" s="108"/>
      <c r="C58" s="109"/>
      <c r="D58" s="109"/>
      <c r="E58" s="109"/>
      <c r="F58" s="109"/>
      <c r="G58" s="109"/>
      <c r="H58" s="110"/>
    </row>
    <row r="59" spans="1:16" ht="15.75" customHeight="1" x14ac:dyDescent="0.25"/>
    <row r="60" spans="1:16" x14ac:dyDescent="0.25">
      <c r="A60" s="2" t="s">
        <v>123</v>
      </c>
      <c r="B60" s="120" t="s">
        <v>126</v>
      </c>
      <c r="C60" s="93"/>
      <c r="D60" s="93"/>
      <c r="E60" s="93"/>
      <c r="F60" s="93"/>
      <c r="G60" s="93"/>
      <c r="H60" s="94"/>
    </row>
    <row r="61" spans="1:16" x14ac:dyDescent="0.25">
      <c r="B61" s="98"/>
      <c r="C61" s="18"/>
      <c r="D61" s="18"/>
      <c r="E61" s="18"/>
      <c r="F61" s="18"/>
      <c r="G61" s="18"/>
      <c r="H61" s="96"/>
    </row>
    <row r="62" spans="1:16" x14ac:dyDescent="0.25">
      <c r="B62" s="121"/>
      <c r="C62" s="101"/>
      <c r="D62" s="166" t="s">
        <v>227</v>
      </c>
      <c r="E62" s="101"/>
      <c r="F62" s="101"/>
      <c r="G62" s="101"/>
      <c r="H62" s="96"/>
      <c r="I62" s="5"/>
      <c r="J62" s="5"/>
      <c r="K62" s="5"/>
      <c r="L62" s="291"/>
      <c r="M62" s="291"/>
      <c r="N62" s="291"/>
      <c r="O62" s="291"/>
      <c r="P62" s="291"/>
    </row>
    <row r="63" spans="1:16" x14ac:dyDescent="0.25">
      <c r="B63" s="121"/>
      <c r="C63" s="101"/>
      <c r="D63" s="122" t="s">
        <v>125</v>
      </c>
      <c r="E63" s="101"/>
      <c r="F63" s="101"/>
      <c r="G63" s="101"/>
      <c r="H63" s="96"/>
      <c r="I63" s="5"/>
      <c r="J63" s="5"/>
      <c r="K63" s="5"/>
      <c r="L63" s="5"/>
      <c r="N63" s="5"/>
      <c r="P63" s="4"/>
    </row>
    <row r="64" spans="1:16" x14ac:dyDescent="0.25">
      <c r="B64" s="95" t="s">
        <v>831</v>
      </c>
      <c r="C64" s="18"/>
      <c r="D64" s="123">
        <f>Detail!F15</f>
        <v>285956342</v>
      </c>
      <c r="E64" s="18"/>
      <c r="F64" s="18"/>
      <c r="G64" s="53" t="s">
        <v>801</v>
      </c>
      <c r="H64" s="96"/>
      <c r="L64" s="123"/>
      <c r="N64" s="123"/>
      <c r="P64" s="15"/>
    </row>
    <row r="65" spans="2:18" hidden="1" x14ac:dyDescent="0.25">
      <c r="B65" s="98" t="s">
        <v>151</v>
      </c>
      <c r="C65" s="18"/>
      <c r="D65" s="112">
        <v>0</v>
      </c>
      <c r="E65" s="18"/>
      <c r="F65" s="18"/>
      <c r="G65" s="53"/>
      <c r="H65" s="96"/>
      <c r="L65" s="112"/>
      <c r="N65" s="112"/>
      <c r="P65" s="112"/>
    </row>
    <row r="66" spans="2:18" x14ac:dyDescent="0.25">
      <c r="B66" s="164" t="s">
        <v>124</v>
      </c>
      <c r="C66" s="18"/>
      <c r="D66" s="112">
        <f>Detail!F43</f>
        <v>87327884</v>
      </c>
      <c r="E66" s="18"/>
      <c r="F66" s="18"/>
      <c r="G66" s="53"/>
      <c r="H66" s="96"/>
      <c r="L66" s="112"/>
      <c r="N66" s="112"/>
      <c r="P66" s="112"/>
    </row>
    <row r="67" spans="2:18" x14ac:dyDescent="0.25">
      <c r="B67" s="184" t="s">
        <v>144</v>
      </c>
      <c r="C67" s="18"/>
      <c r="D67" s="112">
        <f>-Detail!E32</f>
        <v>0</v>
      </c>
      <c r="E67" s="18"/>
      <c r="F67" s="18"/>
      <c r="G67" s="53"/>
      <c r="H67" s="96"/>
      <c r="L67" s="112"/>
      <c r="N67" s="112"/>
      <c r="P67" s="112"/>
    </row>
    <row r="68" spans="2:18" ht="14.7" customHeight="1" thickBot="1" x14ac:dyDescent="0.3">
      <c r="B68" s="95" t="s">
        <v>832</v>
      </c>
      <c r="C68" s="18"/>
      <c r="D68" s="115">
        <f>SUM(D64:D67)</f>
        <v>373284226</v>
      </c>
      <c r="E68" s="18"/>
      <c r="F68" s="18"/>
      <c r="G68" s="53" t="s">
        <v>802</v>
      </c>
      <c r="H68" s="96"/>
      <c r="L68" s="123"/>
      <c r="N68" s="123"/>
      <c r="P68" s="123"/>
      <c r="R68" s="127"/>
    </row>
    <row r="69" spans="2:18" ht="13.8" thickTop="1" x14ac:dyDescent="0.25">
      <c r="B69" s="98"/>
      <c r="C69" s="18"/>
      <c r="D69" s="123"/>
      <c r="E69" s="18"/>
      <c r="F69" s="18"/>
      <c r="G69" s="18"/>
      <c r="H69" s="96"/>
      <c r="R69" s="127"/>
    </row>
    <row r="70" spans="2:18" x14ac:dyDescent="0.25">
      <c r="B70" s="95" t="s">
        <v>152</v>
      </c>
      <c r="C70" s="18"/>
      <c r="D70" s="124">
        <v>0</v>
      </c>
      <c r="E70" s="18"/>
      <c r="F70" s="18"/>
      <c r="G70" s="18"/>
      <c r="H70" s="96"/>
      <c r="L70" s="123"/>
      <c r="N70" s="123"/>
      <c r="P70" s="123"/>
    </row>
    <row r="71" spans="2:18" x14ac:dyDescent="0.25">
      <c r="B71" s="98"/>
      <c r="C71" s="18"/>
      <c r="D71" s="18"/>
      <c r="E71" s="18"/>
      <c r="F71" s="18"/>
      <c r="G71" s="18"/>
      <c r="H71" s="96"/>
    </row>
    <row r="72" spans="2:18" ht="82.2" customHeight="1" x14ac:dyDescent="0.25">
      <c r="B72" s="289" t="s">
        <v>228</v>
      </c>
      <c r="C72" s="278"/>
      <c r="D72" s="278"/>
      <c r="E72" s="278"/>
      <c r="F72" s="278"/>
      <c r="G72" s="278"/>
      <c r="H72" s="290"/>
      <c r="L72" s="292"/>
      <c r="M72" s="292"/>
      <c r="N72" s="292"/>
      <c r="O72" s="292"/>
      <c r="P72" s="292"/>
    </row>
    <row r="73" spans="2:18" ht="92.1" customHeight="1" x14ac:dyDescent="0.25">
      <c r="B73" s="286" t="s">
        <v>229</v>
      </c>
      <c r="C73" s="287"/>
      <c r="D73" s="287"/>
      <c r="E73" s="287"/>
      <c r="F73" s="287"/>
      <c r="G73" s="287"/>
      <c r="H73" s="288"/>
      <c r="L73" s="293"/>
      <c r="M73" s="293"/>
      <c r="N73" s="293"/>
      <c r="O73" s="293"/>
      <c r="P73" s="293"/>
    </row>
    <row r="74" spans="2:18" ht="12.75" customHeight="1" x14ac:dyDescent="0.25">
      <c r="B74" s="108"/>
      <c r="C74" s="109"/>
      <c r="D74" s="109"/>
      <c r="E74" s="109"/>
      <c r="F74" s="109"/>
      <c r="G74" s="109"/>
      <c r="H74" s="110"/>
    </row>
    <row r="81" spans="7:7" x14ac:dyDescent="0.25">
      <c r="G81" s="15"/>
    </row>
  </sheetData>
  <sheetProtection algorithmName="SHA-512" hashValue="ogwpb3+sIBZK+wBTZdsCpHGs7u05mAM22vuVyN0pVvHdkzADmRYtZ4DHzciXgXIcc5wJb9TS+kREOogsTyU1aw==" saltValue="yXs9og5mtdyvtQDGZwtssg==" spinCount="100000" sheet="1" objects="1" scenarios="1"/>
  <mergeCells count="12">
    <mergeCell ref="L8:N8"/>
    <mergeCell ref="L9:P9"/>
    <mergeCell ref="R9:V9"/>
    <mergeCell ref="L28:Q28"/>
    <mergeCell ref="B28:H28"/>
    <mergeCell ref="X9:Z9"/>
    <mergeCell ref="B73:H73"/>
    <mergeCell ref="B72:H72"/>
    <mergeCell ref="L62:P62"/>
    <mergeCell ref="L72:P72"/>
    <mergeCell ref="L73:P73"/>
    <mergeCell ref="N16:P16"/>
  </mergeCells>
  <pageMargins left="0.45" right="0.45" top="0.5" bottom="0.5" header="0.3" footer="0.3"/>
  <pageSetup orientation="portrait" r:id="rId1"/>
  <rowBreaks count="1" manualBreakCount="1">
    <brk id="5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103"/>
  <sheetViews>
    <sheetView zoomScaleNormal="100" workbookViewId="0">
      <pane xSplit="2" ySplit="3" topLeftCell="I4" activePane="bottomRight" state="frozen"/>
      <selection pane="topRight" activeCell="C1" sqref="C1"/>
      <selection pane="bottomLeft" activeCell="A4" sqref="A4"/>
      <selection pane="bottomRight" activeCell="A92" sqref="A92:F92"/>
    </sheetView>
  </sheetViews>
  <sheetFormatPr defaultRowHeight="13.2" x14ac:dyDescent="0.25"/>
  <cols>
    <col min="1" max="1" width="40.44140625" customWidth="1"/>
    <col min="2" max="2" width="11.6640625" bestFit="1" customWidth="1"/>
    <col min="3" max="3" width="11.6640625" customWidth="1"/>
    <col min="4" max="4" width="10.33203125" customWidth="1"/>
    <col min="5" max="5" width="13.44140625" customWidth="1"/>
    <col min="6" max="7" width="11.6640625" customWidth="1"/>
    <col min="8" max="8" width="13.44140625" bestFit="1" customWidth="1"/>
    <col min="9" max="9" width="19.33203125" customWidth="1"/>
    <col min="10" max="10" width="13.6640625" customWidth="1"/>
    <col min="11" max="11" width="12.88671875" customWidth="1"/>
    <col min="12" max="12" width="13.44140625" customWidth="1"/>
    <col min="13" max="13" width="19.33203125" customWidth="1"/>
    <col min="14" max="14" width="12.44140625" customWidth="1"/>
    <col min="15" max="15" width="20.6640625" customWidth="1"/>
    <col min="16" max="16" width="12.44140625" customWidth="1"/>
    <col min="17" max="18" width="14.109375" customWidth="1"/>
    <col min="19" max="20" width="12.33203125" customWidth="1"/>
    <col min="21" max="21" width="12.44140625" customWidth="1"/>
    <col min="22" max="22" width="17.44140625" customWidth="1"/>
    <col min="23" max="23" width="14.33203125" customWidth="1"/>
    <col min="24" max="24" width="6.6640625" customWidth="1"/>
    <col min="25" max="25" width="8.33203125" customWidth="1"/>
    <col min="26" max="26" width="13.44140625" customWidth="1"/>
    <col min="27" max="28" width="8.33203125" customWidth="1"/>
    <col min="29" max="29" width="13.44140625" bestFit="1" customWidth="1"/>
    <col min="30" max="31" width="11.6640625" customWidth="1"/>
    <col min="32" max="32" width="11.6640625" bestFit="1" customWidth="1"/>
    <col min="33" max="33" width="20.6640625" customWidth="1"/>
    <col min="34" max="34" width="18.109375" bestFit="1" customWidth="1"/>
    <col min="35" max="35" width="20.44140625" bestFit="1" customWidth="1"/>
    <col min="36" max="36" width="13.44140625" bestFit="1" customWidth="1"/>
    <col min="37" max="37" width="20.6640625" customWidth="1"/>
    <col min="38" max="38" width="9.33203125" customWidth="1"/>
    <col min="39" max="42" width="20.6640625" customWidth="1"/>
    <col min="43" max="44" width="21.44140625" customWidth="1"/>
    <col min="45" max="46" width="17.6640625" customWidth="1"/>
    <col min="47" max="47" width="16.5546875" customWidth="1"/>
    <col min="48" max="48" width="16" bestFit="1" customWidth="1"/>
  </cols>
  <sheetData>
    <row r="1" spans="1:48" x14ac:dyDescent="0.25">
      <c r="B1" s="5">
        <v>1</v>
      </c>
      <c r="C1" s="5">
        <v>2</v>
      </c>
      <c r="D1" s="5">
        <v>3</v>
      </c>
      <c r="E1" s="5">
        <v>4</v>
      </c>
      <c r="F1" s="5">
        <v>5</v>
      </c>
      <c r="G1" s="5">
        <v>6</v>
      </c>
      <c r="H1" s="5">
        <v>7</v>
      </c>
      <c r="I1" s="5">
        <v>8</v>
      </c>
      <c r="J1" s="5">
        <v>9</v>
      </c>
      <c r="K1" s="5">
        <v>10</v>
      </c>
      <c r="L1" s="5">
        <v>11</v>
      </c>
      <c r="M1" s="5">
        <v>12</v>
      </c>
      <c r="N1" s="5">
        <v>13</v>
      </c>
      <c r="O1" s="5">
        <v>14</v>
      </c>
      <c r="P1" s="5">
        <v>15</v>
      </c>
      <c r="Q1" s="5">
        <v>16</v>
      </c>
      <c r="R1" s="5">
        <v>17</v>
      </c>
      <c r="S1" s="5">
        <v>18</v>
      </c>
      <c r="T1" s="5">
        <v>19</v>
      </c>
      <c r="U1" s="5">
        <v>20</v>
      </c>
      <c r="V1" s="5">
        <v>21</v>
      </c>
      <c r="W1" s="5">
        <v>22</v>
      </c>
      <c r="X1" s="5">
        <v>23</v>
      </c>
      <c r="Y1" s="5">
        <v>24</v>
      </c>
      <c r="Z1" s="5">
        <v>25</v>
      </c>
      <c r="AA1" s="5">
        <v>26</v>
      </c>
      <c r="AB1" s="5">
        <v>27</v>
      </c>
      <c r="AC1" s="5">
        <v>28</v>
      </c>
      <c r="AD1" s="5">
        <v>29</v>
      </c>
      <c r="AE1" s="5">
        <v>30</v>
      </c>
      <c r="AF1" s="5">
        <v>31</v>
      </c>
      <c r="AG1" s="5">
        <v>32</v>
      </c>
      <c r="AH1" s="5">
        <v>33</v>
      </c>
      <c r="AI1" s="5">
        <v>34</v>
      </c>
      <c r="AJ1" s="5">
        <v>35</v>
      </c>
      <c r="AK1" s="5">
        <v>36</v>
      </c>
      <c r="AL1" s="5">
        <v>37</v>
      </c>
      <c r="AM1" s="5">
        <v>38</v>
      </c>
      <c r="AN1" s="5">
        <v>39</v>
      </c>
      <c r="AO1" s="5">
        <v>40</v>
      </c>
      <c r="AP1" s="5">
        <v>41</v>
      </c>
      <c r="AQ1" s="5">
        <v>42</v>
      </c>
      <c r="AR1" s="5">
        <v>43</v>
      </c>
      <c r="AS1" s="5">
        <v>44</v>
      </c>
      <c r="AT1" s="5">
        <v>45</v>
      </c>
      <c r="AU1" s="5">
        <v>46</v>
      </c>
      <c r="AV1" s="235">
        <v>47</v>
      </c>
    </row>
    <row r="2" spans="1:48" x14ac:dyDescent="0.25">
      <c r="F2" s="300" t="s">
        <v>835</v>
      </c>
      <c r="G2" s="301"/>
      <c r="H2" s="301"/>
      <c r="I2" s="302"/>
      <c r="J2" s="300" t="s">
        <v>836</v>
      </c>
      <c r="K2" s="301"/>
      <c r="L2" s="301"/>
      <c r="M2" s="302"/>
      <c r="N2" s="303" t="s">
        <v>217</v>
      </c>
      <c r="O2" s="304"/>
      <c r="P2" s="304"/>
      <c r="Q2" s="300" t="s">
        <v>121</v>
      </c>
      <c r="R2" s="301"/>
      <c r="S2" s="301"/>
      <c r="T2" s="301"/>
      <c r="U2" s="302"/>
      <c r="AD2" s="300" t="s">
        <v>805</v>
      </c>
      <c r="AE2" s="301"/>
      <c r="AF2" s="301"/>
      <c r="AG2" s="302"/>
      <c r="AH2" s="300" t="s">
        <v>806</v>
      </c>
      <c r="AI2" s="301"/>
      <c r="AJ2" s="301"/>
      <c r="AK2" s="302"/>
      <c r="AM2" s="146" t="s">
        <v>171</v>
      </c>
      <c r="AN2" s="146" t="s">
        <v>172</v>
      </c>
      <c r="AO2" s="146" t="s">
        <v>171</v>
      </c>
      <c r="AP2" s="146" t="s">
        <v>172</v>
      </c>
      <c r="AQ2" s="167" t="s">
        <v>171</v>
      </c>
      <c r="AR2" s="168" t="s">
        <v>172</v>
      </c>
      <c r="AS2" s="169" t="s">
        <v>237</v>
      </c>
      <c r="AT2" s="181" t="s">
        <v>171</v>
      </c>
      <c r="AU2" s="181" t="s">
        <v>172</v>
      </c>
      <c r="AV2" s="236" t="s">
        <v>237</v>
      </c>
    </row>
    <row r="3" spans="1:48" ht="120" customHeight="1" x14ac:dyDescent="0.3">
      <c r="A3" s="13" t="s">
        <v>34</v>
      </c>
      <c r="B3" s="13" t="s">
        <v>33</v>
      </c>
      <c r="C3" s="10" t="s">
        <v>35</v>
      </c>
      <c r="D3" s="10" t="s">
        <v>833</v>
      </c>
      <c r="E3" s="12" t="s">
        <v>834</v>
      </c>
      <c r="F3" s="136" t="s">
        <v>116</v>
      </c>
      <c r="G3" s="136" t="s">
        <v>117</v>
      </c>
      <c r="H3" s="136" t="s">
        <v>130</v>
      </c>
      <c r="I3" s="136" t="s">
        <v>115</v>
      </c>
      <c r="J3" s="136" t="s">
        <v>116</v>
      </c>
      <c r="K3" s="136" t="s">
        <v>117</v>
      </c>
      <c r="L3" s="136" t="s">
        <v>130</v>
      </c>
      <c r="M3" s="136" t="s">
        <v>115</v>
      </c>
      <c r="N3" s="11" t="s">
        <v>240</v>
      </c>
      <c r="O3" s="11" t="s">
        <v>119</v>
      </c>
      <c r="P3" s="11" t="s">
        <v>239</v>
      </c>
      <c r="Q3" s="8">
        <v>2026</v>
      </c>
      <c r="R3" s="8">
        <v>2027</v>
      </c>
      <c r="S3" s="8">
        <v>2028</v>
      </c>
      <c r="T3" s="8">
        <v>2029</v>
      </c>
      <c r="U3" s="8">
        <v>2030</v>
      </c>
      <c r="V3" s="10" t="s">
        <v>238</v>
      </c>
      <c r="W3" s="10" t="s">
        <v>122</v>
      </c>
      <c r="X3" s="10" t="s">
        <v>136</v>
      </c>
      <c r="Y3" s="10" t="s">
        <v>191</v>
      </c>
      <c r="Z3" s="204" t="s">
        <v>467</v>
      </c>
      <c r="AA3" s="10" t="s">
        <v>191</v>
      </c>
      <c r="AB3" s="10" t="s">
        <v>191</v>
      </c>
      <c r="AC3" s="171" t="s">
        <v>807</v>
      </c>
      <c r="AD3" s="145" t="s">
        <v>116</v>
      </c>
      <c r="AE3" s="145" t="s">
        <v>117</v>
      </c>
      <c r="AF3" s="145" t="s">
        <v>130</v>
      </c>
      <c r="AG3" s="145" t="s">
        <v>115</v>
      </c>
      <c r="AH3" s="145" t="s">
        <v>116</v>
      </c>
      <c r="AI3" s="145" t="s">
        <v>117</v>
      </c>
      <c r="AJ3" s="145" t="s">
        <v>130</v>
      </c>
      <c r="AK3" s="145" t="s">
        <v>115</v>
      </c>
      <c r="AL3" s="145" t="s">
        <v>191</v>
      </c>
      <c r="AM3" s="145" t="s">
        <v>115</v>
      </c>
      <c r="AN3" s="145" t="s">
        <v>115</v>
      </c>
      <c r="AO3" s="145" t="s">
        <v>116</v>
      </c>
      <c r="AP3" s="145" t="s">
        <v>116</v>
      </c>
      <c r="AQ3" t="s">
        <v>236</v>
      </c>
      <c r="AR3" t="s">
        <v>236</v>
      </c>
      <c r="AS3" t="s">
        <v>237</v>
      </c>
      <c r="AT3" s="182" t="s">
        <v>117</v>
      </c>
      <c r="AU3" s="145" t="s">
        <v>117</v>
      </c>
      <c r="AV3" s="237" t="s">
        <v>237</v>
      </c>
    </row>
    <row r="4" spans="1:48" x14ac:dyDescent="0.25">
      <c r="A4" t="s">
        <v>37</v>
      </c>
      <c r="B4">
        <v>20100</v>
      </c>
      <c r="C4" s="6">
        <f>VLOOKUP(B4,'ER Contributions'!A:D,4,FALSE)</f>
        <v>17372374</v>
      </c>
      <c r="D4" s="7">
        <f>VLOOKUP(B4,'ER Contributions'!A:D,3,FALSE)</f>
        <v>1.0974899999999999E-2</v>
      </c>
      <c r="E4" s="9">
        <f>VLOOKUP(B4,'75 - Summary Exhibit'!A:N,3,FALSE)</f>
        <v>373284226</v>
      </c>
      <c r="F4" s="9">
        <f>VLOOKUP(B4,'75 - Summary Exhibit'!A:N,4,FALSE)</f>
        <v>3042484</v>
      </c>
      <c r="G4" s="9">
        <f>VLOOKUP(B4,'75 - Summary Exhibit'!A:N,5,FALSE)</f>
        <v>1599584</v>
      </c>
      <c r="H4" s="9">
        <f>VLOOKUP(B4,'75 - Summary Exhibit'!A:N,6,FALSE)</f>
        <v>89902085</v>
      </c>
      <c r="I4" s="6">
        <f>VLOOKUP(B4,'75 - Summary Exhibit'!A:N,7,FALSE)</f>
        <v>16112456</v>
      </c>
      <c r="J4" s="6">
        <f>VLOOKUP(B4,'75 - Summary Exhibit'!A:N,8,FALSE)</f>
        <v>0</v>
      </c>
      <c r="K4" s="6">
        <f>VLOOKUP(B4,'75 - Summary Exhibit'!A:N,9,FALSE)</f>
        <v>0</v>
      </c>
      <c r="L4" s="6">
        <f>VLOOKUP(B4,'75 - Summary Exhibit'!A:N,10,FALSE)</f>
        <v>48668642</v>
      </c>
      <c r="M4" s="6">
        <f>VLOOKUP(B4,'75 - Summary Exhibit'!A:N,11,FALSE)</f>
        <v>1326259</v>
      </c>
      <c r="N4" s="6">
        <f>VLOOKUP(B4,'75 - Summary Exhibit'!A:N,12,FALSE)</f>
        <v>10381864</v>
      </c>
      <c r="O4" s="6">
        <f>VLOOKUP(B4,'75 - Summary Exhibit'!A:N,13,FALSE)</f>
        <v>6460689</v>
      </c>
      <c r="P4" s="6">
        <f t="shared" ref="P4:P34" si="0">N4+O4</f>
        <v>16842553</v>
      </c>
      <c r="Q4" s="6">
        <f>VLOOKUP(B4,'75- Deferred Amortization'!A:G,3,FALSE)</f>
        <v>1955780</v>
      </c>
      <c r="R4" s="6">
        <f>VLOOKUP(B4,'75- Deferred Amortization'!A:G,4,FALSE)</f>
        <v>12111713</v>
      </c>
      <c r="S4" s="6">
        <f>VLOOKUP(B4,'75- Deferred Amortization'!A:G,5,FALSE)</f>
        <v>27329867</v>
      </c>
      <c r="T4" s="6">
        <f>VLOOKUP(B4,'75- Deferred Amortization'!A:G,6,FALSE)</f>
        <v>19264347</v>
      </c>
      <c r="U4" s="6">
        <f>VLOOKUP(B4,'75- Deferred Amortization'!A:G,7,FALSE)</f>
        <v>0</v>
      </c>
      <c r="V4" s="6">
        <f t="shared" ref="V4:V35" si="1">ROUND(((F4-AD4)+(G4-AE4)+(H4-AF4)+(I4-AG4)+(AI4-K4)+P4-(E4-AC4)-(J4-AH4)-(L4-AJ4)-(M4-AK4)-C4),0)-Z4</f>
        <v>5</v>
      </c>
      <c r="W4" s="6">
        <f t="shared" ref="W4:W35" si="2">ROUND((F4+G4+H4+I4-J4-K4-L4-M4-Q4-R4-S4-T4-U4),0)</f>
        <v>1</v>
      </c>
      <c r="X4">
        <v>1</v>
      </c>
      <c r="Z4" s="205">
        <f>VLOOKUP(B4,'Noncap Contr Alloc'!A:C,3,FALSE)</f>
        <v>113568</v>
      </c>
      <c r="AC4" s="9">
        <v>285956342</v>
      </c>
      <c r="AD4" s="9">
        <v>3148939</v>
      </c>
      <c r="AE4" s="9">
        <v>2284366</v>
      </c>
      <c r="AF4" s="9">
        <v>30977777</v>
      </c>
      <c r="AG4" s="6">
        <v>14843006</v>
      </c>
      <c r="AH4" s="6">
        <v>280180</v>
      </c>
      <c r="AI4" s="6">
        <v>0</v>
      </c>
      <c r="AJ4" s="6">
        <v>76290844</v>
      </c>
      <c r="AK4" s="6">
        <v>1992634</v>
      </c>
      <c r="AM4" s="6">
        <f t="shared" ref="AM4:AM35" si="3">I4-AG4</f>
        <v>1269450</v>
      </c>
      <c r="AN4" s="6">
        <f t="shared" ref="AN4:AN35" si="4">M4-AK4</f>
        <v>-666375</v>
      </c>
      <c r="AO4" s="9">
        <f t="shared" ref="AO4:AO35" si="5">F4-AD4</f>
        <v>-106455</v>
      </c>
      <c r="AP4" s="6">
        <f t="shared" ref="AP4:AP35" si="6">J4-AH4</f>
        <v>-280180</v>
      </c>
      <c r="AQ4" s="9">
        <f t="shared" ref="AQ4:AQ35" si="7">H4-AF4</f>
        <v>58924308</v>
      </c>
      <c r="AR4" s="6">
        <f t="shared" ref="AR4:AR35" si="8">L4-AJ4</f>
        <v>-27622202</v>
      </c>
      <c r="AS4" s="9">
        <f t="shared" ref="AS4:AS35" si="9">E4-AC4</f>
        <v>87327884</v>
      </c>
      <c r="AT4" s="9">
        <f t="shared" ref="AT4:AT35" si="10">G4-AE4</f>
        <v>-684782</v>
      </c>
      <c r="AU4" s="6">
        <f t="shared" ref="AU4:AU35" si="11">K4-AI4</f>
        <v>0</v>
      </c>
      <c r="AV4" s="238">
        <f>AC4+AS4</f>
        <v>373284226</v>
      </c>
    </row>
    <row r="5" spans="1:48" x14ac:dyDescent="0.25">
      <c r="A5" t="s">
        <v>39</v>
      </c>
      <c r="B5">
        <v>20300</v>
      </c>
      <c r="C5" s="6">
        <f>VLOOKUP(B5,'ER Contributions'!A:D,4,FALSE)</f>
        <v>34392482</v>
      </c>
      <c r="D5" s="7">
        <f>VLOOKUP(B5,'ER Contributions'!A:D,3,FALSE)</f>
        <v>2.2251900000000002E-2</v>
      </c>
      <c r="E5" s="9">
        <f>VLOOKUP(B5,'75 - Summary Exhibit'!A:N,3,FALSE)</f>
        <v>756845778</v>
      </c>
      <c r="F5" s="9">
        <f>VLOOKUP(B5,'75 - Summary Exhibit'!A:N,4,FALSE)</f>
        <v>6168735</v>
      </c>
      <c r="G5" s="9">
        <f>VLOOKUP(B5,'75 - Summary Exhibit'!A:N,5,FALSE)</f>
        <v>3243208</v>
      </c>
      <c r="H5" s="9">
        <f>VLOOKUP(B5,'75 - Summary Exhibit'!A:N,6,FALSE)</f>
        <v>182279367</v>
      </c>
      <c r="I5" s="6">
        <f>VLOOKUP(B5,'75 - Summary Exhibit'!A:N,7,FALSE)</f>
        <v>0</v>
      </c>
      <c r="J5" s="6">
        <f>VLOOKUP(B5,'75 - Summary Exhibit'!A:N,8,FALSE)</f>
        <v>0</v>
      </c>
      <c r="K5" s="6">
        <f>VLOOKUP(B5,'75 - Summary Exhibit'!A:N,9,FALSE)</f>
        <v>0</v>
      </c>
      <c r="L5" s="6">
        <f>VLOOKUP(B5,'75 - Summary Exhibit'!A:N,10,FALSE)</f>
        <v>98677237</v>
      </c>
      <c r="M5" s="6">
        <f>VLOOKUP(B5,'75 - Summary Exhibit'!A:N,11,FALSE)</f>
        <v>29694566</v>
      </c>
      <c r="N5" s="6">
        <f>VLOOKUP(B5,'75 - Summary Exhibit'!A:N,12,FALSE)</f>
        <v>21049564</v>
      </c>
      <c r="O5" s="6">
        <f>VLOOKUP(B5,'75 - Summary Exhibit'!A:N,13,FALSE)</f>
        <v>-13316254</v>
      </c>
      <c r="P5" s="6">
        <f t="shared" si="0"/>
        <v>7733310</v>
      </c>
      <c r="Q5" s="6">
        <f>VLOOKUP(B5,'75- Deferred Amortization'!A:G,3,FALSE)</f>
        <v>-18671411</v>
      </c>
      <c r="R5" s="6">
        <f>VLOOKUP(B5,'75- Deferred Amortization'!A:G,4,FALSE)</f>
        <v>2562809</v>
      </c>
      <c r="S5" s="6">
        <f>VLOOKUP(B5,'75- Deferred Amortization'!A:G,5,FALSE)</f>
        <v>44118183</v>
      </c>
      <c r="T5" s="6">
        <f>VLOOKUP(B5,'75- Deferred Amortization'!A:G,6,FALSE)</f>
        <v>35309926</v>
      </c>
      <c r="U5" s="6">
        <f>VLOOKUP(B5,'75- Deferred Amortization'!A:G,7,FALSE)</f>
        <v>0</v>
      </c>
      <c r="V5" s="6">
        <f t="shared" si="1"/>
        <v>4</v>
      </c>
      <c r="W5" s="6">
        <f t="shared" si="2"/>
        <v>0</v>
      </c>
      <c r="X5">
        <v>1</v>
      </c>
      <c r="Z5" s="205">
        <f>VLOOKUP(B5,'Noncap Contr Alloc'!A:C,3,FALSE)</f>
        <v>230263</v>
      </c>
      <c r="AC5" s="9">
        <v>595494706</v>
      </c>
      <c r="AD5" s="9">
        <v>6557562</v>
      </c>
      <c r="AE5" s="9">
        <v>4757118</v>
      </c>
      <c r="AF5" s="9">
        <v>64510204</v>
      </c>
      <c r="AG5" s="6">
        <v>917100</v>
      </c>
      <c r="AH5" s="6">
        <v>583465</v>
      </c>
      <c r="AI5" s="6">
        <v>0</v>
      </c>
      <c r="AJ5" s="6">
        <v>158873182</v>
      </c>
      <c r="AK5" s="6">
        <v>42206341</v>
      </c>
      <c r="AM5" s="6">
        <f t="shared" si="3"/>
        <v>-917100</v>
      </c>
      <c r="AN5" s="6">
        <f t="shared" si="4"/>
        <v>-12511775</v>
      </c>
      <c r="AO5" s="9">
        <f t="shared" si="5"/>
        <v>-388827</v>
      </c>
      <c r="AP5" s="6">
        <f t="shared" si="6"/>
        <v>-583465</v>
      </c>
      <c r="AQ5" s="9">
        <f t="shared" si="7"/>
        <v>117769163</v>
      </c>
      <c r="AR5" s="6">
        <f t="shared" si="8"/>
        <v>-60195945</v>
      </c>
      <c r="AS5" s="9">
        <f t="shared" si="9"/>
        <v>161351072</v>
      </c>
      <c r="AT5" s="9">
        <f t="shared" si="10"/>
        <v>-1513910</v>
      </c>
      <c r="AU5" s="6">
        <f t="shared" si="11"/>
        <v>0</v>
      </c>
      <c r="AV5" s="238">
        <f t="shared" ref="AV5:AV68" si="12">AC5+AS5</f>
        <v>756845778</v>
      </c>
    </row>
    <row r="6" spans="1:48" x14ac:dyDescent="0.25">
      <c r="A6" t="s">
        <v>40</v>
      </c>
      <c r="B6">
        <v>20400</v>
      </c>
      <c r="C6" s="6">
        <f>VLOOKUP(B6,'ER Contributions'!A:D,4,FALSE)</f>
        <v>1973736</v>
      </c>
      <c r="D6" s="7">
        <f>VLOOKUP(B6,'ER Contributions'!A:D,3,FALSE)</f>
        <v>1.2634E-3</v>
      </c>
      <c r="E6" s="9">
        <f>VLOOKUP(B6,'75 - Summary Exhibit'!A:N,3,FALSE)</f>
        <v>42970843</v>
      </c>
      <c r="F6" s="9">
        <f>VLOOKUP(B6,'75 - Summary Exhibit'!A:N,4,FALSE)</f>
        <v>350237</v>
      </c>
      <c r="G6" s="9">
        <f>VLOOKUP(B6,'75 - Summary Exhibit'!A:N,5,FALSE)</f>
        <v>184137</v>
      </c>
      <c r="H6" s="9">
        <f>VLOOKUP(B6,'75 - Summary Exhibit'!A:N,6,FALSE)</f>
        <v>10349133</v>
      </c>
      <c r="I6" s="6">
        <f>VLOOKUP(B6,'75 - Summary Exhibit'!A:N,7,FALSE)</f>
        <v>2729275</v>
      </c>
      <c r="J6" s="6">
        <f>VLOOKUP(B6,'75 - Summary Exhibit'!A:N,8,FALSE)</f>
        <v>0</v>
      </c>
      <c r="K6" s="6">
        <f>VLOOKUP(B6,'75 - Summary Exhibit'!A:N,9,FALSE)</f>
        <v>0</v>
      </c>
      <c r="L6" s="6">
        <f>VLOOKUP(B6,'75 - Summary Exhibit'!A:N,10,FALSE)</f>
        <v>5602520</v>
      </c>
      <c r="M6" s="6">
        <f>VLOOKUP(B6,'75 - Summary Exhibit'!A:N,11,FALSE)</f>
        <v>200908</v>
      </c>
      <c r="N6" s="6">
        <f>VLOOKUP(B6,'75 - Summary Exhibit'!A:N,12,FALSE)</f>
        <v>1195113</v>
      </c>
      <c r="O6" s="6">
        <f>VLOOKUP(B6,'75 - Summary Exhibit'!A:N,13,FALSE)</f>
        <v>971956</v>
      </c>
      <c r="P6" s="6">
        <f t="shared" si="0"/>
        <v>2167069</v>
      </c>
      <c r="Q6" s="6">
        <f>VLOOKUP(B6,'75- Deferred Amortization'!A:G,3,FALSE)</f>
        <v>705652</v>
      </c>
      <c r="R6" s="6">
        <f>VLOOKUP(B6,'75- Deferred Amortization'!A:G,4,FALSE)</f>
        <v>1677303</v>
      </c>
      <c r="S6" s="6">
        <f>VLOOKUP(B6,'75- Deferred Amortization'!A:G,5,FALSE)</f>
        <v>3174765</v>
      </c>
      <c r="T6" s="6">
        <f>VLOOKUP(B6,'75- Deferred Amortization'!A:G,6,FALSE)</f>
        <v>2251634</v>
      </c>
      <c r="U6" s="6">
        <f>VLOOKUP(B6,'75- Deferred Amortization'!A:G,7,FALSE)</f>
        <v>0</v>
      </c>
      <c r="V6" s="6">
        <f t="shared" si="1"/>
        <v>-3</v>
      </c>
      <c r="W6" s="6">
        <f t="shared" si="2"/>
        <v>0</v>
      </c>
      <c r="X6">
        <v>1</v>
      </c>
      <c r="Z6" s="205">
        <f>VLOOKUP(B6,'Noncap Contr Alloc'!A:C,3,FALSE)</f>
        <v>13074</v>
      </c>
      <c r="AC6" s="9">
        <v>32746063</v>
      </c>
      <c r="AD6" s="9">
        <v>360598</v>
      </c>
      <c r="AE6" s="9">
        <v>261592</v>
      </c>
      <c r="AF6" s="9">
        <v>3547395</v>
      </c>
      <c r="AG6" s="6">
        <v>2665083</v>
      </c>
      <c r="AH6" s="6">
        <v>32085</v>
      </c>
      <c r="AI6" s="6">
        <v>0</v>
      </c>
      <c r="AJ6" s="6">
        <v>8736385</v>
      </c>
      <c r="AK6" s="6">
        <v>301362</v>
      </c>
      <c r="AM6" s="6">
        <f t="shared" si="3"/>
        <v>64192</v>
      </c>
      <c r="AN6" s="6">
        <f t="shared" si="4"/>
        <v>-100454</v>
      </c>
      <c r="AO6" s="9">
        <f t="shared" si="5"/>
        <v>-10361</v>
      </c>
      <c r="AP6" s="6">
        <f t="shared" si="6"/>
        <v>-32085</v>
      </c>
      <c r="AQ6" s="9">
        <f t="shared" si="7"/>
        <v>6801738</v>
      </c>
      <c r="AR6" s="6">
        <f t="shared" si="8"/>
        <v>-3133865</v>
      </c>
      <c r="AS6" s="9">
        <f t="shared" si="9"/>
        <v>10224780</v>
      </c>
      <c r="AT6" s="9">
        <f t="shared" si="10"/>
        <v>-77455</v>
      </c>
      <c r="AU6" s="6">
        <f t="shared" si="11"/>
        <v>0</v>
      </c>
      <c r="AV6" s="238">
        <f t="shared" si="12"/>
        <v>42970843</v>
      </c>
    </row>
    <row r="7" spans="1:48" x14ac:dyDescent="0.25">
      <c r="A7" t="s">
        <v>41</v>
      </c>
      <c r="B7">
        <v>20600</v>
      </c>
      <c r="C7" s="6">
        <f>VLOOKUP(B7,'ER Contributions'!A:D,4,FALSE)</f>
        <v>4646464</v>
      </c>
      <c r="D7" s="7">
        <f>VLOOKUP(B7,'ER Contributions'!A:D,3,FALSE)</f>
        <v>2.6586000000000001E-3</v>
      </c>
      <c r="E7" s="9">
        <f>VLOOKUP(B7,'75 - Summary Exhibit'!A:N,3,FALSE)</f>
        <v>90427201</v>
      </c>
      <c r="F7" s="9">
        <f>VLOOKUP(B7,'75 - Summary Exhibit'!A:N,4,FALSE)</f>
        <v>737034</v>
      </c>
      <c r="G7" s="9">
        <f>VLOOKUP(B7,'75 - Summary Exhibit'!A:N,5,FALSE)</f>
        <v>387495</v>
      </c>
      <c r="H7" s="9">
        <f>VLOOKUP(B7,'75 - Summary Exhibit'!A:N,6,FALSE)</f>
        <v>21778562</v>
      </c>
      <c r="I7" s="6">
        <f>VLOOKUP(B7,'75 - Summary Exhibit'!A:N,7,FALSE)</f>
        <v>3899649</v>
      </c>
      <c r="J7" s="6">
        <f>VLOOKUP(B7,'75 - Summary Exhibit'!A:N,8,FALSE)</f>
        <v>0</v>
      </c>
      <c r="K7" s="6">
        <f>VLOOKUP(B7,'75 - Summary Exhibit'!A:N,9,FALSE)</f>
        <v>0</v>
      </c>
      <c r="L7" s="6">
        <f>VLOOKUP(B7,'75 - Summary Exhibit'!A:N,10,FALSE)</f>
        <v>11789861</v>
      </c>
      <c r="M7" s="6">
        <f>VLOOKUP(B7,'75 - Summary Exhibit'!A:N,11,FALSE)</f>
        <v>3549023</v>
      </c>
      <c r="N7" s="6">
        <f>VLOOKUP(B7,'75 - Summary Exhibit'!A:N,12,FALSE)</f>
        <v>2514982</v>
      </c>
      <c r="O7" s="6">
        <f>VLOOKUP(B7,'75 - Summary Exhibit'!A:N,13,FALSE)</f>
        <v>-920686</v>
      </c>
      <c r="P7" s="6">
        <f t="shared" si="0"/>
        <v>1594296</v>
      </c>
      <c r="Q7" s="6">
        <f>VLOOKUP(B7,'75- Deferred Amortization'!A:G,3,FALSE)</f>
        <v>-1974962</v>
      </c>
      <c r="R7" s="6">
        <f>VLOOKUP(B7,'75- Deferred Amortization'!A:G,4,FALSE)</f>
        <v>1923837</v>
      </c>
      <c r="S7" s="6">
        <f>VLOOKUP(B7,'75- Deferred Amortization'!A:G,5,FALSE)</f>
        <v>6504994</v>
      </c>
      <c r="T7" s="6">
        <f>VLOOKUP(B7,'75- Deferred Amortization'!A:G,6,FALSE)</f>
        <v>5009988</v>
      </c>
      <c r="U7" s="6">
        <f>VLOOKUP(B7,'75- Deferred Amortization'!A:G,7,FALSE)</f>
        <v>0</v>
      </c>
      <c r="V7" s="6">
        <f t="shared" si="1"/>
        <v>-2</v>
      </c>
      <c r="W7" s="6">
        <f t="shared" si="2"/>
        <v>-1</v>
      </c>
      <c r="X7">
        <v>1</v>
      </c>
      <c r="Z7" s="205">
        <f>VLOOKUP(B7,'Noncap Contr Alloc'!A:C,3,FALSE)</f>
        <v>27511</v>
      </c>
      <c r="AC7" s="9">
        <v>68151448</v>
      </c>
      <c r="AD7" s="9">
        <v>750481</v>
      </c>
      <c r="AE7" s="9">
        <v>544429</v>
      </c>
      <c r="AF7" s="9">
        <v>7382876</v>
      </c>
      <c r="AG7" s="6">
        <v>1723266</v>
      </c>
      <c r="AH7" s="6">
        <v>66775</v>
      </c>
      <c r="AI7" s="6">
        <v>0</v>
      </c>
      <c r="AJ7" s="6">
        <v>18182256</v>
      </c>
      <c r="AK7" s="6">
        <v>6043595</v>
      </c>
      <c r="AM7" s="6">
        <f t="shared" si="3"/>
        <v>2176383</v>
      </c>
      <c r="AN7" s="6">
        <f t="shared" si="4"/>
        <v>-2494572</v>
      </c>
      <c r="AO7" s="9">
        <f t="shared" si="5"/>
        <v>-13447</v>
      </c>
      <c r="AP7" s="6">
        <f t="shared" si="6"/>
        <v>-66775</v>
      </c>
      <c r="AQ7" s="9">
        <f t="shared" si="7"/>
        <v>14395686</v>
      </c>
      <c r="AR7" s="6">
        <f t="shared" si="8"/>
        <v>-6392395</v>
      </c>
      <c r="AS7" s="9">
        <f t="shared" si="9"/>
        <v>22275753</v>
      </c>
      <c r="AT7" s="9">
        <f t="shared" si="10"/>
        <v>-156934</v>
      </c>
      <c r="AU7" s="6">
        <f t="shared" si="11"/>
        <v>0</v>
      </c>
      <c r="AV7" s="238">
        <f t="shared" si="12"/>
        <v>90427201</v>
      </c>
    </row>
    <row r="8" spans="1:48" x14ac:dyDescent="0.25">
      <c r="A8" t="s">
        <v>43</v>
      </c>
      <c r="B8">
        <v>20800</v>
      </c>
      <c r="C8" s="6">
        <f>VLOOKUP(B8,'ER Contributions'!A:D,4,FALSE)</f>
        <v>6693180</v>
      </c>
      <c r="D8" s="7">
        <f>VLOOKUP(B8,'ER Contributions'!A:D,3,FALSE)</f>
        <v>3.8221000000000002E-3</v>
      </c>
      <c r="E8" s="9">
        <f>VLOOKUP(B8,'75 - Summary Exhibit'!A:N,3,FALSE)</f>
        <v>129998693</v>
      </c>
      <c r="F8" s="9">
        <f>VLOOKUP(B8,'75 - Summary Exhibit'!A:N,4,FALSE)</f>
        <v>1059565</v>
      </c>
      <c r="G8" s="9">
        <f>VLOOKUP(B8,'75 - Summary Exhibit'!A:N,5,FALSE)</f>
        <v>557066</v>
      </c>
      <c r="H8" s="9">
        <f>VLOOKUP(B8,'75 - Summary Exhibit'!A:N,6,FALSE)</f>
        <v>31308993</v>
      </c>
      <c r="I8" s="6">
        <f>VLOOKUP(B8,'75 - Summary Exhibit'!A:N,7,FALSE)</f>
        <v>0</v>
      </c>
      <c r="J8" s="6">
        <f>VLOOKUP(B8,'75 - Summary Exhibit'!A:N,8,FALSE)</f>
        <v>0</v>
      </c>
      <c r="K8" s="6">
        <f>VLOOKUP(B8,'75 - Summary Exhibit'!A:N,9,FALSE)</f>
        <v>0</v>
      </c>
      <c r="L8" s="6">
        <f>VLOOKUP(B8,'75 - Summary Exhibit'!A:N,10,FALSE)</f>
        <v>16949175</v>
      </c>
      <c r="M8" s="6">
        <f>VLOOKUP(B8,'75 - Summary Exhibit'!A:N,11,FALSE)</f>
        <v>9000386</v>
      </c>
      <c r="N8" s="6">
        <f>VLOOKUP(B8,'75 - Summary Exhibit'!A:N,12,FALSE)</f>
        <v>3615553</v>
      </c>
      <c r="O8" s="6">
        <f>VLOOKUP(B8,'75 - Summary Exhibit'!A:N,13,FALSE)</f>
        <v>-3726804</v>
      </c>
      <c r="P8" s="6">
        <f t="shared" si="0"/>
        <v>-111251</v>
      </c>
      <c r="Q8" s="6">
        <f>VLOOKUP(B8,'75- Deferred Amortization'!A:G,3,FALSE)</f>
        <v>-4290722</v>
      </c>
      <c r="R8" s="6">
        <f>VLOOKUP(B8,'75- Deferred Amortization'!A:G,4,FALSE)</f>
        <v>-65531</v>
      </c>
      <c r="S8" s="6">
        <f>VLOOKUP(B8,'75- Deferred Amortization'!A:G,5,FALSE)</f>
        <v>5541881</v>
      </c>
      <c r="T8" s="6">
        <f>VLOOKUP(B8,'75- Deferred Amortization'!A:G,6,FALSE)</f>
        <v>5790435</v>
      </c>
      <c r="U8" s="6">
        <f>VLOOKUP(B8,'75- Deferred Amortization'!A:G,7,FALSE)</f>
        <v>0</v>
      </c>
      <c r="V8" s="6">
        <f t="shared" si="1"/>
        <v>-1</v>
      </c>
      <c r="W8" s="6">
        <f t="shared" si="2"/>
        <v>0</v>
      </c>
      <c r="X8">
        <v>1</v>
      </c>
      <c r="Z8" s="205">
        <f>VLOOKUP(B8,'Noncap Contr Alloc'!A:C,3,FALSE)</f>
        <v>39551</v>
      </c>
      <c r="AC8" s="9">
        <v>104177066</v>
      </c>
      <c r="AD8" s="9">
        <v>1147193</v>
      </c>
      <c r="AE8" s="9">
        <v>832220</v>
      </c>
      <c r="AF8" s="9">
        <v>11285547</v>
      </c>
      <c r="AG8" s="6">
        <v>0</v>
      </c>
      <c r="AH8" s="6">
        <v>102073</v>
      </c>
      <c r="AI8" s="6">
        <v>0</v>
      </c>
      <c r="AJ8" s="6">
        <v>27793600</v>
      </c>
      <c r="AK8" s="6">
        <v>11058832</v>
      </c>
      <c r="AM8" s="6">
        <f t="shared" si="3"/>
        <v>0</v>
      </c>
      <c r="AN8" s="6">
        <f t="shared" si="4"/>
        <v>-2058446</v>
      </c>
      <c r="AO8" s="9">
        <f t="shared" si="5"/>
        <v>-87628</v>
      </c>
      <c r="AP8" s="6">
        <f t="shared" si="6"/>
        <v>-102073</v>
      </c>
      <c r="AQ8" s="9">
        <f t="shared" si="7"/>
        <v>20023446</v>
      </c>
      <c r="AR8" s="6">
        <f t="shared" si="8"/>
        <v>-10844425</v>
      </c>
      <c r="AS8" s="9">
        <f t="shared" si="9"/>
        <v>25821627</v>
      </c>
      <c r="AT8" s="9">
        <f t="shared" si="10"/>
        <v>-275154</v>
      </c>
      <c r="AU8" s="6">
        <f t="shared" si="11"/>
        <v>0</v>
      </c>
      <c r="AV8" s="238">
        <f t="shared" si="12"/>
        <v>129998693</v>
      </c>
    </row>
    <row r="9" spans="1:48" x14ac:dyDescent="0.25">
      <c r="A9" t="s">
        <v>36</v>
      </c>
      <c r="B9">
        <v>10950</v>
      </c>
      <c r="C9" s="6">
        <f>VLOOKUP(B9,'ER Contributions'!A:D,4,FALSE)</f>
        <v>1679550</v>
      </c>
      <c r="D9" s="7">
        <f>VLOOKUP(B9,'ER Contributions'!A:D,3,FALSE)</f>
        <v>1.0694000000000001E-3</v>
      </c>
      <c r="E9" s="9">
        <f>VLOOKUP(B9,'75 - Summary Exhibit'!A:N,3,FALSE)</f>
        <v>36372778</v>
      </c>
      <c r="F9" s="9">
        <f>VLOOKUP(B9,'75 - Summary Exhibit'!A:N,4,FALSE)</f>
        <v>296459</v>
      </c>
      <c r="G9" s="9">
        <f>VLOOKUP(B9,'75 - Summary Exhibit'!A:N,5,FALSE)</f>
        <v>155863</v>
      </c>
      <c r="H9" s="9">
        <f>VLOOKUP(B9,'75 - Summary Exhibit'!A:N,6,FALSE)</f>
        <v>8760050</v>
      </c>
      <c r="I9" s="6">
        <f>VLOOKUP(B9,'75 - Summary Exhibit'!A:N,7,FALSE)</f>
        <v>5530251</v>
      </c>
      <c r="J9" s="6">
        <f>VLOOKUP(B9,'75 - Summary Exhibit'!A:N,8,FALSE)</f>
        <v>0</v>
      </c>
      <c r="K9" s="6">
        <f>VLOOKUP(B9,'75 - Summary Exhibit'!A:N,9,FALSE)</f>
        <v>0</v>
      </c>
      <c r="L9" s="6">
        <f>VLOOKUP(B9,'75 - Summary Exhibit'!A:N,10,FALSE)</f>
        <v>4742268</v>
      </c>
      <c r="M9" s="6">
        <f>VLOOKUP(B9,'75 - Summary Exhibit'!A:N,11,FALSE)</f>
        <v>0</v>
      </c>
      <c r="N9" s="6">
        <f>VLOOKUP(B9,'75 - Summary Exhibit'!A:N,12,FALSE)</f>
        <v>1011606</v>
      </c>
      <c r="O9" s="6">
        <f>VLOOKUP(B9,'75 - Summary Exhibit'!A:N,13,FALSE)</f>
        <v>2323033</v>
      </c>
      <c r="P9" s="6">
        <f t="shared" si="0"/>
        <v>3334639</v>
      </c>
      <c r="Q9" s="6">
        <f>VLOOKUP(B9,'75- Deferred Amortization'!A:G,3,FALSE)</f>
        <v>1672679</v>
      </c>
      <c r="R9" s="6">
        <f>VLOOKUP(B9,'75- Deferred Amortization'!A:G,4,FALSE)</f>
        <v>2613449</v>
      </c>
      <c r="S9" s="6">
        <f>VLOOKUP(B9,'75- Deferred Amortization'!A:G,5,FALSE)</f>
        <v>3574236</v>
      </c>
      <c r="T9" s="6">
        <f>VLOOKUP(B9,'75- Deferred Amortization'!A:G,6,FALSE)</f>
        <v>2139992</v>
      </c>
      <c r="U9" s="6">
        <f>VLOOKUP(B9,'75- Deferred Amortization'!A:G,7,FALSE)</f>
        <v>0</v>
      </c>
      <c r="V9" s="6">
        <f t="shared" si="1"/>
        <v>-4</v>
      </c>
      <c r="W9" s="6">
        <f t="shared" si="2"/>
        <v>-1</v>
      </c>
      <c r="X9">
        <v>1</v>
      </c>
      <c r="Z9" s="205">
        <f>VLOOKUP(B9,'Noncap Contr Alloc'!A:C,3,FALSE)</f>
        <v>11066</v>
      </c>
      <c r="AC9" s="9">
        <v>26699453</v>
      </c>
      <c r="AD9" s="9">
        <v>294013</v>
      </c>
      <c r="AE9" s="9">
        <v>213289</v>
      </c>
      <c r="AF9" s="9">
        <v>2892363</v>
      </c>
      <c r="AG9" s="6">
        <v>5720751</v>
      </c>
      <c r="AH9" s="6">
        <v>26160</v>
      </c>
      <c r="AI9" s="6">
        <v>0</v>
      </c>
      <c r="AJ9" s="6">
        <v>7123199</v>
      </c>
      <c r="AK9" s="6">
        <v>0</v>
      </c>
      <c r="AM9" s="6">
        <f t="shared" si="3"/>
        <v>-190500</v>
      </c>
      <c r="AN9" s="6">
        <f t="shared" si="4"/>
        <v>0</v>
      </c>
      <c r="AO9" s="9">
        <f t="shared" si="5"/>
        <v>2446</v>
      </c>
      <c r="AP9" s="6">
        <f t="shared" si="6"/>
        <v>-26160</v>
      </c>
      <c r="AQ9" s="9">
        <f t="shared" si="7"/>
        <v>5867687</v>
      </c>
      <c r="AR9" s="6">
        <f t="shared" si="8"/>
        <v>-2380931</v>
      </c>
      <c r="AS9" s="9">
        <f t="shared" si="9"/>
        <v>9673325</v>
      </c>
      <c r="AT9" s="9">
        <f t="shared" si="10"/>
        <v>-57426</v>
      </c>
      <c r="AU9" s="6">
        <f t="shared" si="11"/>
        <v>0</v>
      </c>
      <c r="AV9" s="238">
        <f t="shared" si="12"/>
        <v>36372778</v>
      </c>
    </row>
    <row r="10" spans="1:48" x14ac:dyDescent="0.25">
      <c r="A10" t="s">
        <v>38</v>
      </c>
      <c r="B10">
        <v>20200</v>
      </c>
      <c r="C10" s="6">
        <f>VLOOKUP(B10,'ER Contributions'!A:D,4,FALSE)</f>
        <v>2455288</v>
      </c>
      <c r="D10" s="7">
        <f>VLOOKUP(B10,'ER Contributions'!A:D,3,FALSE)</f>
        <v>1.4812E-3</v>
      </c>
      <c r="E10" s="9">
        <f>VLOOKUP(B10,'75 - Summary Exhibit'!A:N,3,FALSE)</f>
        <v>50380921</v>
      </c>
      <c r="F10" s="9">
        <f>VLOOKUP(B10,'75 - Summary Exhibit'!A:N,4,FALSE)</f>
        <v>410634</v>
      </c>
      <c r="G10" s="9">
        <f>VLOOKUP(B10,'75 - Summary Exhibit'!A:N,5,FALSE)</f>
        <v>215890</v>
      </c>
      <c r="H10" s="9">
        <f>VLOOKUP(B10,'75 - Summary Exhibit'!A:N,6,FALSE)</f>
        <v>12133783</v>
      </c>
      <c r="I10" s="6">
        <f>VLOOKUP(B10,'75 - Summary Exhibit'!A:N,7,FALSE)</f>
        <v>383088</v>
      </c>
      <c r="J10" s="6">
        <f>VLOOKUP(B10,'75 - Summary Exhibit'!A:N,8,FALSE)</f>
        <v>0</v>
      </c>
      <c r="K10" s="6">
        <f>VLOOKUP(B10,'75 - Summary Exhibit'!A:N,9,FALSE)</f>
        <v>0</v>
      </c>
      <c r="L10" s="6">
        <f>VLOOKUP(B10,'75 - Summary Exhibit'!A:N,10,FALSE)</f>
        <v>6568643</v>
      </c>
      <c r="M10" s="6">
        <f>VLOOKUP(B10,'75 - Summary Exhibit'!A:N,11,FALSE)</f>
        <v>988765</v>
      </c>
      <c r="N10" s="6">
        <f>VLOOKUP(B10,'75 - Summary Exhibit'!A:N,12,FALSE)</f>
        <v>1401205</v>
      </c>
      <c r="O10" s="6">
        <f>VLOOKUP(B10,'75 - Summary Exhibit'!A:N,13,FALSE)</f>
        <v>363243</v>
      </c>
      <c r="P10" s="6">
        <f t="shared" si="0"/>
        <v>1764448</v>
      </c>
      <c r="Q10" s="6">
        <f>VLOOKUP(B10,'75- Deferred Amortization'!A:G,3,FALSE)</f>
        <v>-641892</v>
      </c>
      <c r="R10" s="6">
        <f>VLOOKUP(B10,'75- Deferred Amortization'!A:G,4,FALSE)</f>
        <v>784235</v>
      </c>
      <c r="S10" s="6">
        <f>VLOOKUP(B10,'75- Deferred Amortization'!A:G,5,FALSE)</f>
        <v>3118617</v>
      </c>
      <c r="T10" s="6">
        <f>VLOOKUP(B10,'75- Deferred Amortization'!A:G,6,FALSE)</f>
        <v>2325026</v>
      </c>
      <c r="U10" s="6">
        <f>VLOOKUP(B10,'75- Deferred Amortization'!A:G,7,FALSE)</f>
        <v>0</v>
      </c>
      <c r="V10" s="6">
        <f t="shared" si="1"/>
        <v>1</v>
      </c>
      <c r="W10" s="6">
        <f t="shared" si="2"/>
        <v>1</v>
      </c>
      <c r="X10">
        <v>1</v>
      </c>
      <c r="Z10" s="205">
        <f>VLOOKUP(B10,'Noncap Contr Alloc'!A:C,3,FALSE)</f>
        <v>15327</v>
      </c>
      <c r="AC10" s="9">
        <v>39897299</v>
      </c>
      <c r="AD10" s="9">
        <v>439347</v>
      </c>
      <c r="AE10" s="9">
        <v>318720</v>
      </c>
      <c r="AF10" s="9">
        <v>4322092</v>
      </c>
      <c r="AG10" s="6">
        <v>1220491</v>
      </c>
      <c r="AH10" s="6">
        <v>39091</v>
      </c>
      <c r="AI10" s="6">
        <v>0</v>
      </c>
      <c r="AJ10" s="6">
        <v>10644277</v>
      </c>
      <c r="AK10" s="6">
        <v>1221085</v>
      </c>
      <c r="AM10" s="6">
        <f t="shared" si="3"/>
        <v>-837403</v>
      </c>
      <c r="AN10" s="6">
        <f t="shared" si="4"/>
        <v>-232320</v>
      </c>
      <c r="AO10" s="9">
        <f t="shared" si="5"/>
        <v>-28713</v>
      </c>
      <c r="AP10" s="6">
        <f t="shared" si="6"/>
        <v>-39091</v>
      </c>
      <c r="AQ10" s="9">
        <f t="shared" si="7"/>
        <v>7811691</v>
      </c>
      <c r="AR10" s="6">
        <f t="shared" si="8"/>
        <v>-4075634</v>
      </c>
      <c r="AS10" s="9">
        <f t="shared" si="9"/>
        <v>10483622</v>
      </c>
      <c r="AT10" s="9">
        <f t="shared" si="10"/>
        <v>-102830</v>
      </c>
      <c r="AU10" s="6">
        <f t="shared" si="11"/>
        <v>0</v>
      </c>
      <c r="AV10" s="238">
        <f t="shared" si="12"/>
        <v>50380921</v>
      </c>
    </row>
    <row r="11" spans="1:48" x14ac:dyDescent="0.25">
      <c r="A11" t="s">
        <v>46</v>
      </c>
      <c r="B11">
        <v>21300</v>
      </c>
      <c r="C11" s="6">
        <f>VLOOKUP(B11,'ER Contributions'!A:D,4,FALSE)</f>
        <v>58924603</v>
      </c>
      <c r="D11" s="7">
        <f>VLOOKUP(B11,'ER Contributions'!A:D,3,FALSE)</f>
        <v>3.8584800000000002E-2</v>
      </c>
      <c r="E11" s="9">
        <f>VLOOKUP(B11,'75 - Summary Exhibit'!A:N,3,FALSE)</f>
        <v>1312370446</v>
      </c>
      <c r="F11" s="9">
        <f>VLOOKUP(B11,'75 - Summary Exhibit'!A:N,4,FALSE)</f>
        <v>10696585</v>
      </c>
      <c r="G11" s="9">
        <f>VLOOKUP(B11,'75 - Summary Exhibit'!A:N,5,FALSE)</f>
        <v>5623721</v>
      </c>
      <c r="H11" s="9">
        <f>VLOOKUP(B11,'75 - Summary Exhibit'!A:N,6,FALSE)</f>
        <v>316072390</v>
      </c>
      <c r="I11" s="6">
        <f>VLOOKUP(B11,'75 - Summary Exhibit'!A:N,7,FALSE)</f>
        <v>30469480</v>
      </c>
      <c r="J11" s="6">
        <f>VLOOKUP(B11,'75 - Summary Exhibit'!A:N,8,FALSE)</f>
        <v>0</v>
      </c>
      <c r="K11" s="6">
        <f>VLOOKUP(B11,'75 - Summary Exhibit'!A:N,9,FALSE)</f>
        <v>0</v>
      </c>
      <c r="L11" s="6">
        <f>VLOOKUP(B11,'75 - Summary Exhibit'!A:N,10,FALSE)</f>
        <v>171106311</v>
      </c>
      <c r="M11" s="6">
        <f>VLOOKUP(B11,'75 - Summary Exhibit'!A:N,11,FALSE)</f>
        <v>25324202</v>
      </c>
      <c r="N11" s="6">
        <f>VLOOKUP(B11,'75 - Summary Exhibit'!A:N,12,FALSE)</f>
        <v>36499941</v>
      </c>
      <c r="O11" s="6">
        <f>VLOOKUP(B11,'75 - Summary Exhibit'!A:N,13,FALSE)</f>
        <v>464721</v>
      </c>
      <c r="P11" s="6">
        <f t="shared" si="0"/>
        <v>36964662</v>
      </c>
      <c r="Q11" s="6">
        <f>VLOOKUP(B11,'75- Deferred Amortization'!A:G,3,FALSE)</f>
        <v>-10385126</v>
      </c>
      <c r="R11" s="6">
        <f>VLOOKUP(B11,'75- Deferred Amortization'!A:G,4,FALSE)</f>
        <v>24060078</v>
      </c>
      <c r="S11" s="6">
        <f>VLOOKUP(B11,'75- Deferred Amortization'!A:G,5,FALSE)</f>
        <v>87905275</v>
      </c>
      <c r="T11" s="6">
        <f>VLOOKUP(B11,'75- Deferred Amortization'!A:G,6,FALSE)</f>
        <v>64851438</v>
      </c>
      <c r="U11" s="6">
        <f>VLOOKUP(B11,'75- Deferred Amortization'!A:G,7,FALSE)</f>
        <v>0</v>
      </c>
      <c r="V11" s="6">
        <f t="shared" si="1"/>
        <v>1</v>
      </c>
      <c r="W11" s="6">
        <f t="shared" si="2"/>
        <v>-2</v>
      </c>
      <c r="X11">
        <v>1</v>
      </c>
      <c r="Z11" s="205">
        <f>VLOOKUP(B11,'Noncap Contr Alloc'!A:C,3,FALSE)</f>
        <v>399276</v>
      </c>
      <c r="AC11" s="9">
        <v>1016074701</v>
      </c>
      <c r="AD11" s="9">
        <v>11188971</v>
      </c>
      <c r="AE11" s="9">
        <v>8116927</v>
      </c>
      <c r="AF11" s="9">
        <v>110071821</v>
      </c>
      <c r="AG11" s="6">
        <v>28461363</v>
      </c>
      <c r="AH11" s="6">
        <v>995549</v>
      </c>
      <c r="AI11" s="6">
        <v>0</v>
      </c>
      <c r="AJ11" s="6">
        <v>271080530</v>
      </c>
      <c r="AK11" s="6">
        <v>37986303</v>
      </c>
      <c r="AM11" s="6">
        <f t="shared" si="3"/>
        <v>2008117</v>
      </c>
      <c r="AN11" s="6">
        <f t="shared" si="4"/>
        <v>-12662101</v>
      </c>
      <c r="AO11" s="9">
        <f t="shared" si="5"/>
        <v>-492386</v>
      </c>
      <c r="AP11" s="6">
        <f t="shared" si="6"/>
        <v>-995549</v>
      </c>
      <c r="AQ11" s="9">
        <f t="shared" si="7"/>
        <v>206000569</v>
      </c>
      <c r="AR11" s="6">
        <f t="shared" si="8"/>
        <v>-99974219</v>
      </c>
      <c r="AS11" s="9">
        <f t="shared" si="9"/>
        <v>296295745</v>
      </c>
      <c r="AT11" s="9">
        <f t="shared" si="10"/>
        <v>-2493206</v>
      </c>
      <c r="AU11" s="6">
        <f t="shared" si="11"/>
        <v>0</v>
      </c>
      <c r="AV11" s="238">
        <f t="shared" si="12"/>
        <v>1312370446</v>
      </c>
    </row>
    <row r="12" spans="1:48" x14ac:dyDescent="0.25">
      <c r="A12" t="s">
        <v>42</v>
      </c>
      <c r="B12">
        <v>20700</v>
      </c>
      <c r="C12" s="6">
        <f>VLOOKUP(B12,'ER Contributions'!A:D,4,FALSE)</f>
        <v>9981354</v>
      </c>
      <c r="D12" s="7">
        <f>VLOOKUP(B12,'ER Contributions'!A:D,3,FALSE)</f>
        <v>5.6867999999999997E-3</v>
      </c>
      <c r="E12" s="9">
        <f>VLOOKUP(B12,'75 - Summary Exhibit'!A:N,3,FALSE)</f>
        <v>193423305</v>
      </c>
      <c r="F12" s="9">
        <f>VLOOKUP(B12,'75 - Summary Exhibit'!A:N,4,FALSE)</f>
        <v>1576513</v>
      </c>
      <c r="G12" s="9">
        <f>VLOOKUP(B12,'75 - Summary Exhibit'!A:N,5,FALSE)</f>
        <v>828850</v>
      </c>
      <c r="H12" s="9">
        <f>VLOOKUP(B12,'75 - Summary Exhibit'!A:N,6,FALSE)</f>
        <v>46584229</v>
      </c>
      <c r="I12" s="6">
        <f>VLOOKUP(B12,'75 - Summary Exhibit'!A:N,7,FALSE)</f>
        <v>3071119</v>
      </c>
      <c r="J12" s="6">
        <f>VLOOKUP(B12,'75 - Summary Exhibit'!A:N,8,FALSE)</f>
        <v>0</v>
      </c>
      <c r="K12" s="6">
        <f>VLOOKUP(B12,'75 - Summary Exhibit'!A:N,9,FALSE)</f>
        <v>0</v>
      </c>
      <c r="L12" s="6">
        <f>VLOOKUP(B12,'75 - Summary Exhibit'!A:N,10,FALSE)</f>
        <v>25218450</v>
      </c>
      <c r="M12" s="6">
        <f>VLOOKUP(B12,'75 - Summary Exhibit'!A:N,11,FALSE)</f>
        <v>5377540</v>
      </c>
      <c r="N12" s="6">
        <f>VLOOKUP(B12,'75 - Summary Exhibit'!A:N,12,FALSE)</f>
        <v>5379534</v>
      </c>
      <c r="O12" s="6">
        <f>VLOOKUP(B12,'75 - Summary Exhibit'!A:N,13,FALSE)</f>
        <v>110222</v>
      </c>
      <c r="P12" s="6">
        <f t="shared" si="0"/>
        <v>5489756</v>
      </c>
      <c r="Q12" s="6">
        <f>VLOOKUP(B12,'75- Deferred Amortization'!A:G,3,FALSE)</f>
        <v>-1643275</v>
      </c>
      <c r="R12" s="6">
        <f>VLOOKUP(B12,'75- Deferred Amortization'!A:G,4,FALSE)</f>
        <v>3145449</v>
      </c>
      <c r="S12" s="6">
        <f>VLOOKUP(B12,'75- Deferred Amortization'!A:G,5,FALSE)</f>
        <v>10910950</v>
      </c>
      <c r="T12" s="6">
        <f>VLOOKUP(B12,'75- Deferred Amortization'!A:G,6,FALSE)</f>
        <v>9051598</v>
      </c>
      <c r="U12" s="6">
        <f>VLOOKUP(B12,'75- Deferred Amortization'!A:G,7,FALSE)</f>
        <v>0</v>
      </c>
      <c r="V12" s="6">
        <f t="shared" si="1"/>
        <v>0</v>
      </c>
      <c r="W12" s="6">
        <f t="shared" si="2"/>
        <v>-1</v>
      </c>
      <c r="X12">
        <v>1</v>
      </c>
      <c r="Z12" s="205">
        <f>VLOOKUP(B12,'Noncap Contr Alloc'!A:C,3,FALSE)</f>
        <v>58847</v>
      </c>
      <c r="AC12" s="9">
        <v>153111608</v>
      </c>
      <c r="AD12" s="9">
        <v>1686058</v>
      </c>
      <c r="AE12" s="9">
        <v>1223134</v>
      </c>
      <c r="AF12" s="9">
        <v>16586648</v>
      </c>
      <c r="AG12" s="6">
        <v>5461154</v>
      </c>
      <c r="AH12" s="6">
        <v>150019</v>
      </c>
      <c r="AI12" s="6">
        <v>0</v>
      </c>
      <c r="AJ12" s="6">
        <v>40848941</v>
      </c>
      <c r="AK12" s="6">
        <v>7355455</v>
      </c>
      <c r="AM12" s="6">
        <f t="shared" si="3"/>
        <v>-2390035</v>
      </c>
      <c r="AN12" s="6">
        <f t="shared" si="4"/>
        <v>-1977915</v>
      </c>
      <c r="AO12" s="9">
        <f t="shared" si="5"/>
        <v>-109545</v>
      </c>
      <c r="AP12" s="6">
        <f t="shared" si="6"/>
        <v>-150019</v>
      </c>
      <c r="AQ12" s="9">
        <f t="shared" si="7"/>
        <v>29997581</v>
      </c>
      <c r="AR12" s="6">
        <f t="shared" si="8"/>
        <v>-15630491</v>
      </c>
      <c r="AS12" s="9">
        <f t="shared" si="9"/>
        <v>40311697</v>
      </c>
      <c r="AT12" s="9">
        <f t="shared" si="10"/>
        <v>-394284</v>
      </c>
      <c r="AU12" s="6">
        <f t="shared" si="11"/>
        <v>0</v>
      </c>
      <c r="AV12" s="238">
        <f t="shared" si="12"/>
        <v>193423305</v>
      </c>
    </row>
    <row r="13" spans="1:48" x14ac:dyDescent="0.25">
      <c r="A13" t="s">
        <v>45</v>
      </c>
      <c r="B13">
        <v>21200</v>
      </c>
      <c r="C13" s="6">
        <f>VLOOKUP(B13,'ER Contributions'!A:D,4,FALSE)</f>
        <v>4569872</v>
      </c>
      <c r="D13" s="7">
        <f>VLOOKUP(B13,'ER Contributions'!A:D,3,FALSE)</f>
        <v>2.9369999999999999E-3</v>
      </c>
      <c r="E13" s="9">
        <f>VLOOKUP(B13,'75 - Summary Exhibit'!A:N,3,FALSE)</f>
        <v>99895006</v>
      </c>
      <c r="F13" s="9">
        <f>VLOOKUP(B13,'75 - Summary Exhibit'!A:N,4,FALSE)</f>
        <v>814203</v>
      </c>
      <c r="G13" s="9">
        <f>VLOOKUP(B13,'75 - Summary Exhibit'!A:N,5,FALSE)</f>
        <v>428066</v>
      </c>
      <c r="H13" s="9">
        <f>VLOOKUP(B13,'75 - Summary Exhibit'!A:N,6,FALSE)</f>
        <v>24058796</v>
      </c>
      <c r="I13" s="6">
        <f>VLOOKUP(B13,'75 - Summary Exhibit'!A:N,7,FALSE)</f>
        <v>1886975</v>
      </c>
      <c r="J13" s="6">
        <f>VLOOKUP(B13,'75 - Summary Exhibit'!A:N,8,FALSE)</f>
        <v>0</v>
      </c>
      <c r="K13" s="6">
        <f>VLOOKUP(B13,'75 - Summary Exhibit'!A:N,9,FALSE)</f>
        <v>0</v>
      </c>
      <c r="L13" s="6">
        <f>VLOOKUP(B13,'75 - Summary Exhibit'!A:N,10,FALSE)</f>
        <v>13024269</v>
      </c>
      <c r="M13" s="6">
        <f>VLOOKUP(B13,'75 - Summary Exhibit'!A:N,11,FALSE)</f>
        <v>5135332</v>
      </c>
      <c r="N13" s="6">
        <f>VLOOKUP(B13,'75 - Summary Exhibit'!A:N,12,FALSE)</f>
        <v>2778301</v>
      </c>
      <c r="O13" s="6">
        <f>VLOOKUP(B13,'75 - Summary Exhibit'!A:N,13,FALSE)</f>
        <v>-326214</v>
      </c>
      <c r="P13" s="6">
        <f t="shared" si="0"/>
        <v>2452087</v>
      </c>
      <c r="Q13" s="6">
        <f>VLOOKUP(B13,'75- Deferred Amortization'!A:G,3,FALSE)</f>
        <v>-1312388</v>
      </c>
      <c r="R13" s="6">
        <f>VLOOKUP(B13,'75- Deferred Amortization'!A:G,4,FALSE)</f>
        <v>722594</v>
      </c>
      <c r="S13" s="6">
        <f>VLOOKUP(B13,'75- Deferred Amortization'!A:G,5,FALSE)</f>
        <v>5670258</v>
      </c>
      <c r="T13" s="6">
        <f>VLOOKUP(B13,'75- Deferred Amortization'!A:G,6,FALSE)</f>
        <v>3947975</v>
      </c>
      <c r="U13" s="6">
        <f>VLOOKUP(B13,'75- Deferred Amortization'!A:G,7,FALSE)</f>
        <v>0</v>
      </c>
      <c r="V13" s="6">
        <f t="shared" si="1"/>
        <v>-1</v>
      </c>
      <c r="W13" s="6">
        <f t="shared" si="2"/>
        <v>0</v>
      </c>
      <c r="X13">
        <v>1</v>
      </c>
      <c r="Z13" s="205">
        <f>VLOOKUP(B13,'Noncap Contr Alloc'!A:C,3,FALSE)</f>
        <v>30392</v>
      </c>
      <c r="AC13" s="9">
        <v>81749145</v>
      </c>
      <c r="AD13" s="9">
        <v>900218</v>
      </c>
      <c r="AE13" s="9">
        <v>653054</v>
      </c>
      <c r="AF13" s="9">
        <v>8855921</v>
      </c>
      <c r="AG13" s="6">
        <v>3370449</v>
      </c>
      <c r="AH13" s="6">
        <v>80098</v>
      </c>
      <c r="AI13" s="6">
        <v>0</v>
      </c>
      <c r="AJ13" s="6">
        <v>21810012</v>
      </c>
      <c r="AK13" s="6">
        <v>3155130</v>
      </c>
      <c r="AM13" s="6">
        <f t="shared" si="3"/>
        <v>-1483474</v>
      </c>
      <c r="AN13" s="6">
        <f t="shared" si="4"/>
        <v>1980202</v>
      </c>
      <c r="AO13" s="9">
        <f t="shared" si="5"/>
        <v>-86015</v>
      </c>
      <c r="AP13" s="6">
        <f t="shared" si="6"/>
        <v>-80098</v>
      </c>
      <c r="AQ13" s="9">
        <f t="shared" si="7"/>
        <v>15202875</v>
      </c>
      <c r="AR13" s="6">
        <f t="shared" si="8"/>
        <v>-8785743</v>
      </c>
      <c r="AS13" s="9">
        <f t="shared" si="9"/>
        <v>18145861</v>
      </c>
      <c r="AT13" s="9">
        <f t="shared" si="10"/>
        <v>-224988</v>
      </c>
      <c r="AU13" s="6">
        <f t="shared" si="11"/>
        <v>0</v>
      </c>
      <c r="AV13" s="238">
        <f t="shared" si="12"/>
        <v>99895006</v>
      </c>
    </row>
    <row r="14" spans="1:48" x14ac:dyDescent="0.25">
      <c r="A14" t="s">
        <v>48</v>
      </c>
      <c r="B14">
        <v>21550</v>
      </c>
      <c r="C14" s="6">
        <f>VLOOKUP(B14,'ER Contributions'!A:D,4,FALSE)</f>
        <v>62589742</v>
      </c>
      <c r="D14" s="7">
        <f>VLOOKUP(B14,'ER Contributions'!A:D,3,FALSE)</f>
        <v>4.3181799999999999E-2</v>
      </c>
      <c r="E14" s="9">
        <f>VLOOKUP(B14,'75 - Summary Exhibit'!A:N,3,FALSE)</f>
        <v>1468724001</v>
      </c>
      <c r="F14" s="9">
        <f>VLOOKUP(B14,'75 - Summary Exhibit'!A:N,4,FALSE)</f>
        <v>11970958</v>
      </c>
      <c r="G14" s="9">
        <f>VLOOKUP(B14,'75 - Summary Exhibit'!A:N,5,FALSE)</f>
        <v>6293722</v>
      </c>
      <c r="H14" s="9">
        <f>VLOOKUP(B14,'75 - Summary Exhibit'!A:N,6,FALSE)</f>
        <v>353728710</v>
      </c>
      <c r="I14" s="6">
        <f>VLOOKUP(B14,'75 - Summary Exhibit'!A:N,7,FALSE)</f>
        <v>39724399</v>
      </c>
      <c r="J14" s="6">
        <f>VLOOKUP(B14,'75 - Summary Exhibit'!A:N,8,FALSE)</f>
        <v>0</v>
      </c>
      <c r="K14" s="6">
        <f>VLOOKUP(B14,'75 - Summary Exhibit'!A:N,9,FALSE)</f>
        <v>0</v>
      </c>
      <c r="L14" s="6">
        <f>VLOOKUP(B14,'75 - Summary Exhibit'!A:N,10,FALSE)</f>
        <v>191491622</v>
      </c>
      <c r="M14" s="6">
        <f>VLOOKUP(B14,'75 - Summary Exhibit'!A:N,11,FALSE)</f>
        <v>67110677</v>
      </c>
      <c r="N14" s="6">
        <f>VLOOKUP(B14,'75 - Summary Exhibit'!A:N,12,FALSE)</f>
        <v>40848478</v>
      </c>
      <c r="O14" s="6">
        <f>VLOOKUP(B14,'75 - Summary Exhibit'!A:N,13,FALSE)</f>
        <v>29011024</v>
      </c>
      <c r="P14" s="6">
        <f t="shared" si="0"/>
        <v>69859502</v>
      </c>
      <c r="Q14" s="6">
        <f>VLOOKUP(B14,'75- Deferred Amortization'!A:G,3,FALSE)</f>
        <v>-2953982</v>
      </c>
      <c r="R14" s="6">
        <f>VLOOKUP(B14,'75- Deferred Amortization'!A:G,4,FALSE)</f>
        <v>26310744</v>
      </c>
      <c r="S14" s="6">
        <f>VLOOKUP(B14,'75- Deferred Amortization'!A:G,5,FALSE)</f>
        <v>69064139</v>
      </c>
      <c r="T14" s="6">
        <f>VLOOKUP(B14,'75- Deferred Amortization'!A:G,6,FALSE)</f>
        <v>60694589</v>
      </c>
      <c r="U14" s="6">
        <f>VLOOKUP(B14,'75- Deferred Amortization'!A:G,7,FALSE)</f>
        <v>0</v>
      </c>
      <c r="V14" s="6">
        <f t="shared" si="1"/>
        <v>-1</v>
      </c>
      <c r="W14" s="6">
        <f t="shared" si="2"/>
        <v>0</v>
      </c>
      <c r="X14">
        <v>1</v>
      </c>
      <c r="Z14" s="205">
        <f>VLOOKUP(B14,'Noncap Contr Alloc'!A:C,3,FALSE)</f>
        <v>446845</v>
      </c>
      <c r="AC14" s="9">
        <v>1186285088</v>
      </c>
      <c r="AD14" s="9">
        <v>13063321</v>
      </c>
      <c r="AE14" s="9">
        <v>9476655</v>
      </c>
      <c r="AF14" s="9">
        <v>128510787</v>
      </c>
      <c r="AG14" s="6">
        <v>88273807</v>
      </c>
      <c r="AH14" s="6">
        <v>1162321</v>
      </c>
      <c r="AI14" s="6">
        <v>0</v>
      </c>
      <c r="AJ14" s="6">
        <v>316491288</v>
      </c>
      <c r="AK14" s="6">
        <v>44171468</v>
      </c>
      <c r="AM14" s="6">
        <f t="shared" si="3"/>
        <v>-48549408</v>
      </c>
      <c r="AN14" s="6">
        <f t="shared" si="4"/>
        <v>22939209</v>
      </c>
      <c r="AO14" s="9">
        <f t="shared" si="5"/>
        <v>-1092363</v>
      </c>
      <c r="AP14" s="6">
        <f t="shared" si="6"/>
        <v>-1162321</v>
      </c>
      <c r="AQ14" s="9">
        <f t="shared" si="7"/>
        <v>225217923</v>
      </c>
      <c r="AR14" s="6">
        <f t="shared" si="8"/>
        <v>-124999666</v>
      </c>
      <c r="AS14" s="9">
        <f t="shared" si="9"/>
        <v>282438913</v>
      </c>
      <c r="AT14" s="9">
        <f t="shared" si="10"/>
        <v>-3182933</v>
      </c>
      <c r="AU14" s="6">
        <f t="shared" si="11"/>
        <v>0</v>
      </c>
      <c r="AV14" s="238">
        <f t="shared" si="12"/>
        <v>1468724001</v>
      </c>
    </row>
    <row r="15" spans="1:48" x14ac:dyDescent="0.25">
      <c r="A15" t="s">
        <v>47</v>
      </c>
      <c r="B15">
        <v>21520</v>
      </c>
      <c r="C15" s="6">
        <f>VLOOKUP(B15,'ER Contributions'!A:D,4,FALSE)</f>
        <v>111150840</v>
      </c>
      <c r="D15" s="7">
        <f>VLOOKUP(B15,'ER Contributions'!A:D,3,FALSE)</f>
        <v>7.4428800000000003E-2</v>
      </c>
      <c r="E15" s="9">
        <f>VLOOKUP(B15,'75 - Summary Exhibit'!A:N,3,FALSE)</f>
        <v>2531485674</v>
      </c>
      <c r="F15" s="9">
        <f>VLOOKUP(B15,'75 - Summary Exhibit'!A:N,4,FALSE)</f>
        <v>20633086</v>
      </c>
      <c r="G15" s="9">
        <f>VLOOKUP(B15,'75 - Summary Exhibit'!A:N,5,FALSE)</f>
        <v>10847829</v>
      </c>
      <c r="H15" s="9">
        <f>VLOOKUP(B15,'75 - Summary Exhibit'!A:N,6,FALSE)</f>
        <v>609685114</v>
      </c>
      <c r="I15" s="6">
        <f>VLOOKUP(B15,'75 - Summary Exhibit'!A:N,7,FALSE)</f>
        <v>88532788</v>
      </c>
      <c r="J15" s="6">
        <f>VLOOKUP(B15,'75 - Summary Exhibit'!A:N,8,FALSE)</f>
        <v>0</v>
      </c>
      <c r="K15" s="6">
        <f>VLOOKUP(B15,'75 - Summary Exhibit'!A:N,9,FALSE)</f>
        <v>0</v>
      </c>
      <c r="L15" s="6">
        <f>VLOOKUP(B15,'75 - Summary Exhibit'!A:N,10,FALSE)</f>
        <v>330054044</v>
      </c>
      <c r="M15" s="6">
        <f>VLOOKUP(B15,'75 - Summary Exhibit'!A:N,11,FALSE)</f>
        <v>0</v>
      </c>
      <c r="N15" s="6">
        <f>VLOOKUP(B15,'75 - Summary Exhibit'!A:N,12,FALSE)</f>
        <v>70406248</v>
      </c>
      <c r="O15" s="6">
        <f>VLOOKUP(B15,'75 - Summary Exhibit'!A:N,13,FALSE)</f>
        <v>43462880</v>
      </c>
      <c r="P15" s="6">
        <f t="shared" si="0"/>
        <v>113869128</v>
      </c>
      <c r="Q15" s="6">
        <f>VLOOKUP(B15,'75- Deferred Amortization'!A:G,3,FALSE)</f>
        <v>18375156</v>
      </c>
      <c r="R15" s="6">
        <f>VLOOKUP(B15,'75- Deferred Amortization'!A:G,4,FALSE)</f>
        <v>83902165</v>
      </c>
      <c r="S15" s="6">
        <f>VLOOKUP(B15,'75- Deferred Amortization'!A:G,5,FALSE)</f>
        <v>170036186</v>
      </c>
      <c r="T15" s="6">
        <f>VLOOKUP(B15,'75- Deferred Amortization'!A:G,6,FALSE)</f>
        <v>127331266</v>
      </c>
      <c r="U15" s="6">
        <f>VLOOKUP(B15,'75- Deferred Amortization'!A:G,7,FALSE)</f>
        <v>0</v>
      </c>
      <c r="V15" s="6">
        <f t="shared" si="1"/>
        <v>-9</v>
      </c>
      <c r="W15" s="6">
        <f t="shared" si="2"/>
        <v>0</v>
      </c>
      <c r="X15">
        <v>1</v>
      </c>
      <c r="Z15" s="205">
        <f>VLOOKUP(B15,'Noncap Contr Alloc'!A:C,3,FALSE)</f>
        <v>770189</v>
      </c>
      <c r="AC15" s="9">
        <v>1947940481</v>
      </c>
      <c r="AD15" s="9">
        <v>21450637</v>
      </c>
      <c r="AE15" s="9">
        <v>15561149</v>
      </c>
      <c r="AF15" s="9">
        <v>211021252</v>
      </c>
      <c r="AG15" s="6">
        <v>91618040</v>
      </c>
      <c r="AH15" s="6">
        <v>1908590</v>
      </c>
      <c r="AI15" s="6">
        <v>0</v>
      </c>
      <c r="AJ15" s="6">
        <v>519694800</v>
      </c>
      <c r="AK15" s="6">
        <v>0</v>
      </c>
      <c r="AM15" s="6">
        <f t="shared" si="3"/>
        <v>-3085252</v>
      </c>
      <c r="AN15" s="6">
        <f t="shared" si="4"/>
        <v>0</v>
      </c>
      <c r="AO15" s="9">
        <f t="shared" si="5"/>
        <v>-817551</v>
      </c>
      <c r="AP15" s="6">
        <f t="shared" si="6"/>
        <v>-1908590</v>
      </c>
      <c r="AQ15" s="9">
        <f t="shared" si="7"/>
        <v>398663862</v>
      </c>
      <c r="AR15" s="6">
        <f t="shared" si="8"/>
        <v>-189640756</v>
      </c>
      <c r="AS15" s="9">
        <f t="shared" si="9"/>
        <v>583545193</v>
      </c>
      <c r="AT15" s="9">
        <f t="shared" si="10"/>
        <v>-4713320</v>
      </c>
      <c r="AU15" s="6">
        <f t="shared" si="11"/>
        <v>0</v>
      </c>
      <c r="AV15" s="6">
        <f t="shared" si="12"/>
        <v>2531485674</v>
      </c>
    </row>
    <row r="16" spans="1:48" x14ac:dyDescent="0.25">
      <c r="A16" t="s">
        <v>51</v>
      </c>
      <c r="B16">
        <v>23000</v>
      </c>
      <c r="C16" s="6">
        <f>VLOOKUP(B16,'ER Contributions'!A:D,4,FALSE)</f>
        <v>3522192</v>
      </c>
      <c r="D16" s="7">
        <f>VLOOKUP(B16,'ER Contributions'!A:D,3,FALSE)</f>
        <v>2.2363999999999999E-3</v>
      </c>
      <c r="E16" s="9">
        <f>VLOOKUP(B16,'75 - Summary Exhibit'!A:N,3,FALSE)</f>
        <v>76065256</v>
      </c>
      <c r="F16" s="9">
        <f>VLOOKUP(B16,'75 - Summary Exhibit'!A:N,4,FALSE)</f>
        <v>619976</v>
      </c>
      <c r="G16" s="9">
        <f>VLOOKUP(B16,'75 - Summary Exhibit'!A:N,5,FALSE)</f>
        <v>325952</v>
      </c>
      <c r="H16" s="9">
        <f>VLOOKUP(B16,'75 - Summary Exhibit'!A:N,6,FALSE)</f>
        <v>18319619</v>
      </c>
      <c r="I16" s="6">
        <f>VLOOKUP(B16,'75 - Summary Exhibit'!A:N,7,FALSE)</f>
        <v>844656</v>
      </c>
      <c r="J16" s="6">
        <f>VLOOKUP(B16,'75 - Summary Exhibit'!A:N,8,FALSE)</f>
        <v>0</v>
      </c>
      <c r="K16" s="6">
        <f>VLOOKUP(B16,'75 - Summary Exhibit'!A:N,9,FALSE)</f>
        <v>0</v>
      </c>
      <c r="L16" s="6">
        <f>VLOOKUP(B16,'75 - Summary Exhibit'!A:N,10,FALSE)</f>
        <v>9917356</v>
      </c>
      <c r="M16" s="6">
        <f>VLOOKUP(B16,'75 - Summary Exhibit'!A:N,11,FALSE)</f>
        <v>3529365</v>
      </c>
      <c r="N16" s="6">
        <f>VLOOKUP(B16,'75 - Summary Exhibit'!A:N,12,FALSE)</f>
        <v>2115544</v>
      </c>
      <c r="O16" s="6">
        <f>VLOOKUP(B16,'75 - Summary Exhibit'!A:N,13,FALSE)</f>
        <v>-1959545</v>
      </c>
      <c r="P16" s="6">
        <f t="shared" si="0"/>
        <v>155999</v>
      </c>
      <c r="Q16" s="6">
        <f>VLOOKUP(B16,'75- Deferred Amortization'!A:G,3,FALSE)</f>
        <v>-2165215</v>
      </c>
      <c r="R16" s="6">
        <f>VLOOKUP(B16,'75- Deferred Amortization'!A:G,4,FALSE)</f>
        <v>425958</v>
      </c>
      <c r="S16" s="6">
        <f>VLOOKUP(B16,'75- Deferred Amortization'!A:G,5,FALSE)</f>
        <v>4608218</v>
      </c>
      <c r="T16" s="6">
        <f>VLOOKUP(B16,'75- Deferred Amortization'!A:G,6,FALSE)</f>
        <v>3794522</v>
      </c>
      <c r="U16" s="6">
        <f>VLOOKUP(B16,'75- Deferred Amortization'!A:G,7,FALSE)</f>
        <v>0</v>
      </c>
      <c r="V16" s="6">
        <f t="shared" si="1"/>
        <v>-1</v>
      </c>
      <c r="W16" s="6">
        <f t="shared" si="2"/>
        <v>-1</v>
      </c>
      <c r="X16">
        <v>1</v>
      </c>
      <c r="Z16" s="205">
        <f>VLOOKUP(B16,'Noncap Contr Alloc'!A:C,3,FALSE)</f>
        <v>23142</v>
      </c>
      <c r="AC16" s="9">
        <v>58829035</v>
      </c>
      <c r="AD16" s="9">
        <v>647823</v>
      </c>
      <c r="AE16" s="9">
        <v>469957</v>
      </c>
      <c r="AF16" s="9">
        <v>6372975</v>
      </c>
      <c r="AG16" s="6">
        <v>0</v>
      </c>
      <c r="AH16" s="6">
        <v>57641</v>
      </c>
      <c r="AI16" s="6">
        <v>0</v>
      </c>
      <c r="AJ16" s="6">
        <v>15695112</v>
      </c>
      <c r="AK16" s="6">
        <v>5700075</v>
      </c>
      <c r="AM16" s="6">
        <f t="shared" si="3"/>
        <v>844656</v>
      </c>
      <c r="AN16" s="6">
        <f t="shared" si="4"/>
        <v>-2170710</v>
      </c>
      <c r="AO16" s="9">
        <f t="shared" si="5"/>
        <v>-27847</v>
      </c>
      <c r="AP16" s="6">
        <f t="shared" si="6"/>
        <v>-57641</v>
      </c>
      <c r="AQ16" s="9">
        <f t="shared" si="7"/>
        <v>11946644</v>
      </c>
      <c r="AR16" s="6">
        <f t="shared" si="8"/>
        <v>-5777756</v>
      </c>
      <c r="AS16" s="9">
        <f t="shared" si="9"/>
        <v>17236221</v>
      </c>
      <c r="AT16" s="9">
        <f t="shared" si="10"/>
        <v>-144005</v>
      </c>
      <c r="AU16" s="6">
        <f t="shared" si="11"/>
        <v>0</v>
      </c>
      <c r="AV16" s="238">
        <f t="shared" si="12"/>
        <v>76065256</v>
      </c>
    </row>
    <row r="17" spans="1:48" x14ac:dyDescent="0.25">
      <c r="A17" t="s">
        <v>52</v>
      </c>
      <c r="B17">
        <v>23100</v>
      </c>
      <c r="C17" s="6">
        <f>VLOOKUP(B17,'ER Contributions'!A:D,4,FALSE)</f>
        <v>23251019</v>
      </c>
      <c r="D17" s="7">
        <f>VLOOKUP(B17,'ER Contributions'!A:D,3,FALSE)</f>
        <v>1.53072E-2</v>
      </c>
      <c r="E17" s="9">
        <f>VLOOKUP(B17,'75 - Summary Exhibit'!A:N,3,FALSE)</f>
        <v>520637030</v>
      </c>
      <c r="F17" s="9">
        <f>VLOOKUP(B17,'75 - Summary Exhibit'!A:N,4,FALSE)</f>
        <v>4243496</v>
      </c>
      <c r="G17" s="9">
        <f>VLOOKUP(B17,'75 - Summary Exhibit'!A:N,5,FALSE)</f>
        <v>2231015</v>
      </c>
      <c r="H17" s="9">
        <f>VLOOKUP(B17,'75 - Summary Exhibit'!A:N,6,FALSE)</f>
        <v>125390656</v>
      </c>
      <c r="I17" s="6">
        <f>VLOOKUP(B17,'75 - Summary Exhibit'!A:N,7,FALSE)</f>
        <v>7720613</v>
      </c>
      <c r="J17" s="6">
        <f>VLOOKUP(B17,'75 - Summary Exhibit'!A:N,8,FALSE)</f>
        <v>0</v>
      </c>
      <c r="K17" s="6">
        <f>VLOOKUP(B17,'75 - Summary Exhibit'!A:N,9,FALSE)</f>
        <v>0</v>
      </c>
      <c r="L17" s="6">
        <f>VLOOKUP(B17,'75 - Summary Exhibit'!A:N,10,FALSE)</f>
        <v>67880439</v>
      </c>
      <c r="M17" s="6">
        <f>VLOOKUP(B17,'75 - Summary Exhibit'!A:N,11,FALSE)</f>
        <v>7356286</v>
      </c>
      <c r="N17" s="6">
        <f>VLOOKUP(B17,'75 - Summary Exhibit'!A:N,12,FALSE)</f>
        <v>14480074</v>
      </c>
      <c r="O17" s="6">
        <f>VLOOKUP(B17,'75 - Summary Exhibit'!A:N,13,FALSE)</f>
        <v>4249388</v>
      </c>
      <c r="P17" s="6">
        <f t="shared" si="0"/>
        <v>18729462</v>
      </c>
      <c r="Q17" s="6">
        <f>VLOOKUP(B17,'75- Deferred Amortization'!A:G,3,FALSE)</f>
        <v>-4361585</v>
      </c>
      <c r="R17" s="6">
        <f>VLOOKUP(B17,'75- Deferred Amortization'!A:G,4,FALSE)</f>
        <v>9315535</v>
      </c>
      <c r="S17" s="6">
        <f>VLOOKUP(B17,'75- Deferred Amortization'!A:G,5,FALSE)</f>
        <v>33150365</v>
      </c>
      <c r="T17" s="6">
        <f>VLOOKUP(B17,'75- Deferred Amortization'!A:G,6,FALSE)</f>
        <v>26244739</v>
      </c>
      <c r="U17" s="6">
        <f>VLOOKUP(B17,'75- Deferred Amortization'!A:G,7,FALSE)</f>
        <v>0</v>
      </c>
      <c r="V17" s="6">
        <f t="shared" si="1"/>
        <v>5</v>
      </c>
      <c r="W17" s="6">
        <f t="shared" si="2"/>
        <v>1</v>
      </c>
      <c r="X17">
        <v>1</v>
      </c>
      <c r="Z17" s="205">
        <f>VLOOKUP(B17,'Noncap Contr Alloc'!A:C,3,FALSE)</f>
        <v>158399</v>
      </c>
      <c r="AC17" s="9">
        <v>400714688</v>
      </c>
      <c r="AD17" s="9">
        <v>4412653</v>
      </c>
      <c r="AE17" s="9">
        <v>3201115</v>
      </c>
      <c r="AF17" s="9">
        <v>43409599</v>
      </c>
      <c r="AG17" s="6">
        <v>7057879</v>
      </c>
      <c r="AH17" s="6">
        <v>392620</v>
      </c>
      <c r="AI17" s="6">
        <v>0</v>
      </c>
      <c r="AJ17" s="6">
        <v>106907445</v>
      </c>
      <c r="AK17" s="6">
        <v>11034429</v>
      </c>
      <c r="AM17" s="6">
        <f t="shared" si="3"/>
        <v>662734</v>
      </c>
      <c r="AN17" s="6">
        <f t="shared" si="4"/>
        <v>-3678143</v>
      </c>
      <c r="AO17" s="9">
        <f t="shared" si="5"/>
        <v>-169157</v>
      </c>
      <c r="AP17" s="6">
        <f t="shared" si="6"/>
        <v>-392620</v>
      </c>
      <c r="AQ17" s="9">
        <f t="shared" si="7"/>
        <v>81981057</v>
      </c>
      <c r="AR17" s="6">
        <f t="shared" si="8"/>
        <v>-39027006</v>
      </c>
      <c r="AS17" s="9">
        <f t="shared" si="9"/>
        <v>119922342</v>
      </c>
      <c r="AT17" s="9">
        <f t="shared" si="10"/>
        <v>-970100</v>
      </c>
      <c r="AU17" s="6">
        <f t="shared" si="11"/>
        <v>0</v>
      </c>
      <c r="AV17" s="238">
        <f t="shared" si="12"/>
        <v>520637030</v>
      </c>
    </row>
    <row r="18" spans="1:48" x14ac:dyDescent="0.25">
      <c r="A18" t="s">
        <v>44</v>
      </c>
      <c r="B18">
        <v>20900</v>
      </c>
      <c r="C18" s="6">
        <f>VLOOKUP(B18,'ER Contributions'!A:D,4,FALSE)</f>
        <v>13777072</v>
      </c>
      <c r="D18" s="7">
        <f>VLOOKUP(B18,'ER Contributions'!A:D,3,FALSE)</f>
        <v>9.2280000000000001E-3</v>
      </c>
      <c r="E18" s="9">
        <f>VLOOKUP(B18,'75 - Summary Exhibit'!A:N,3,FALSE)</f>
        <v>313868415</v>
      </c>
      <c r="F18" s="9">
        <f>VLOOKUP(B18,'75 - Summary Exhibit'!A:N,4,FALSE)</f>
        <v>2558211</v>
      </c>
      <c r="G18" s="9">
        <f>VLOOKUP(B18,'75 - Summary Exhibit'!A:N,5,FALSE)</f>
        <v>1344977</v>
      </c>
      <c r="H18" s="9">
        <f>VLOOKUP(B18,'75 - Summary Exhibit'!A:N,6,FALSE)</f>
        <v>75592332</v>
      </c>
      <c r="I18" s="6">
        <f>VLOOKUP(B18,'75 - Summary Exhibit'!A:N,7,FALSE)</f>
        <v>2715785</v>
      </c>
      <c r="J18" s="6">
        <f>VLOOKUP(B18,'75 - Summary Exhibit'!A:N,8,FALSE)</f>
        <v>0</v>
      </c>
      <c r="K18" s="6">
        <f>VLOOKUP(B18,'75 - Summary Exhibit'!A:N,9,FALSE)</f>
        <v>0</v>
      </c>
      <c r="L18" s="6">
        <f>VLOOKUP(B18,'75 - Summary Exhibit'!A:N,10,FALSE)</f>
        <v>40922034</v>
      </c>
      <c r="M18" s="6">
        <f>VLOOKUP(B18,'75 - Summary Exhibit'!A:N,11,FALSE)</f>
        <v>22464225</v>
      </c>
      <c r="N18" s="6">
        <f>VLOOKUP(B18,'75 - Summary Exhibit'!A:N,12,FALSE)</f>
        <v>8729377</v>
      </c>
      <c r="O18" s="6">
        <f>VLOOKUP(B18,'75 - Summary Exhibit'!A:N,13,FALSE)</f>
        <v>-1027291</v>
      </c>
      <c r="P18" s="6">
        <f t="shared" si="0"/>
        <v>7702086</v>
      </c>
      <c r="Q18" s="6">
        <f>VLOOKUP(B18,'75- Deferred Amortization'!A:G,3,FALSE)</f>
        <v>-6975185</v>
      </c>
      <c r="R18" s="6">
        <f>VLOOKUP(B18,'75- Deferred Amortization'!A:G,4,FALSE)</f>
        <v>277673</v>
      </c>
      <c r="S18" s="6">
        <f>VLOOKUP(B18,'75- Deferred Amortization'!A:G,5,FALSE)</f>
        <v>13707734</v>
      </c>
      <c r="T18" s="6">
        <f>VLOOKUP(B18,'75- Deferred Amortization'!A:G,6,FALSE)</f>
        <v>11814824</v>
      </c>
      <c r="U18" s="6">
        <f>VLOOKUP(B18,'75- Deferred Amortization'!A:G,7,FALSE)</f>
        <v>0</v>
      </c>
      <c r="V18" s="6">
        <f t="shared" si="1"/>
        <v>4</v>
      </c>
      <c r="W18" s="6">
        <f t="shared" si="2"/>
        <v>0</v>
      </c>
      <c r="X18">
        <v>1</v>
      </c>
      <c r="Z18" s="205">
        <f>VLOOKUP(B18,'Noncap Contr Alloc'!A:C,3,FALSE)</f>
        <v>95491</v>
      </c>
      <c r="AC18" s="9">
        <v>258929809</v>
      </c>
      <c r="AD18" s="9">
        <v>2851324</v>
      </c>
      <c r="AE18" s="9">
        <v>2068464</v>
      </c>
      <c r="AF18" s="9">
        <v>28049980</v>
      </c>
      <c r="AG18" s="6">
        <v>8821629</v>
      </c>
      <c r="AH18" s="6">
        <v>253699</v>
      </c>
      <c r="AI18" s="6">
        <v>0</v>
      </c>
      <c r="AJ18" s="6">
        <v>69080383</v>
      </c>
      <c r="AK18" s="6">
        <v>14741356</v>
      </c>
      <c r="AM18" s="6">
        <f t="shared" si="3"/>
        <v>-6105844</v>
      </c>
      <c r="AN18" s="6">
        <f t="shared" si="4"/>
        <v>7722869</v>
      </c>
      <c r="AO18" s="9">
        <f t="shared" si="5"/>
        <v>-293113</v>
      </c>
      <c r="AP18" s="6">
        <f t="shared" si="6"/>
        <v>-253699</v>
      </c>
      <c r="AQ18" s="9">
        <f t="shared" si="7"/>
        <v>47542352</v>
      </c>
      <c r="AR18" s="6">
        <f t="shared" si="8"/>
        <v>-28158349</v>
      </c>
      <c r="AS18" s="9">
        <f t="shared" si="9"/>
        <v>54938606</v>
      </c>
      <c r="AT18" s="9">
        <f t="shared" si="10"/>
        <v>-723487</v>
      </c>
      <c r="AU18" s="6">
        <f t="shared" si="11"/>
        <v>0</v>
      </c>
      <c r="AV18" s="238">
        <f t="shared" si="12"/>
        <v>313868415</v>
      </c>
    </row>
    <row r="19" spans="1:48" x14ac:dyDescent="0.25">
      <c r="A19" t="s">
        <v>53</v>
      </c>
      <c r="B19">
        <v>23200</v>
      </c>
      <c r="C19" s="6">
        <f>VLOOKUP(B19,'ER Contributions'!A:D,4,FALSE)</f>
        <v>13387124</v>
      </c>
      <c r="D19" s="7">
        <f>VLOOKUP(B19,'ER Contributions'!A:D,3,FALSE)</f>
        <v>8.8208000000000002E-3</v>
      </c>
      <c r="E19" s="9">
        <f>VLOOKUP(B19,'75 - Summary Exhibit'!A:N,3,FALSE)</f>
        <v>300017846</v>
      </c>
      <c r="F19" s="9">
        <f>VLOOKUP(B19,'75 - Summary Exhibit'!A:N,4,FALSE)</f>
        <v>2445321</v>
      </c>
      <c r="G19" s="9">
        <f>VLOOKUP(B19,'75 - Summary Exhibit'!A:N,5,FALSE)</f>
        <v>1285625</v>
      </c>
      <c r="H19" s="9">
        <f>VLOOKUP(B19,'75 - Summary Exhibit'!A:N,6,FALSE)</f>
        <v>72256549</v>
      </c>
      <c r="I19" s="6">
        <f>VLOOKUP(B19,'75 - Summary Exhibit'!A:N,7,FALSE)</f>
        <v>11350959</v>
      </c>
      <c r="J19" s="6">
        <f>VLOOKUP(B19,'75 - Summary Exhibit'!A:N,8,FALSE)</f>
        <v>0</v>
      </c>
      <c r="K19" s="6">
        <f>VLOOKUP(B19,'75 - Summary Exhibit'!A:N,9,FALSE)</f>
        <v>0</v>
      </c>
      <c r="L19" s="6">
        <f>VLOOKUP(B19,'75 - Summary Exhibit'!A:N,10,FALSE)</f>
        <v>39116202</v>
      </c>
      <c r="M19" s="6">
        <f>VLOOKUP(B19,'75 - Summary Exhibit'!A:N,11,FALSE)</f>
        <v>764720</v>
      </c>
      <c r="N19" s="6">
        <f>VLOOKUP(B19,'75 - Summary Exhibit'!A:N,12,FALSE)</f>
        <v>8344162</v>
      </c>
      <c r="O19" s="6">
        <f>VLOOKUP(B19,'75 - Summary Exhibit'!A:N,13,FALSE)</f>
        <v>9404927</v>
      </c>
      <c r="P19" s="6">
        <f t="shared" si="0"/>
        <v>17749089</v>
      </c>
      <c r="Q19" s="6">
        <f>VLOOKUP(B19,'75- Deferred Amortization'!A:G,3,FALSE)</f>
        <v>2183734</v>
      </c>
      <c r="R19" s="6">
        <f>VLOOKUP(B19,'75- Deferred Amortization'!A:G,4,FALSE)</f>
        <v>10338072</v>
      </c>
      <c r="S19" s="6">
        <f>VLOOKUP(B19,'75- Deferred Amortization'!A:G,5,FALSE)</f>
        <v>20238592</v>
      </c>
      <c r="T19" s="6">
        <f>VLOOKUP(B19,'75- Deferred Amortization'!A:G,6,FALSE)</f>
        <v>14697134</v>
      </c>
      <c r="U19" s="6">
        <f>VLOOKUP(B19,'75- Deferred Amortization'!A:G,7,FALSE)</f>
        <v>0</v>
      </c>
      <c r="V19" s="6">
        <f t="shared" si="1"/>
        <v>5</v>
      </c>
      <c r="W19" s="6">
        <f t="shared" si="2"/>
        <v>0</v>
      </c>
      <c r="X19">
        <v>1</v>
      </c>
      <c r="Z19" s="205">
        <f>VLOOKUP(B19,'Noncap Contr Alloc'!A:C,3,FALSE)</f>
        <v>91278</v>
      </c>
      <c r="AC19" s="9">
        <v>232772119</v>
      </c>
      <c r="AD19" s="9">
        <v>2563277</v>
      </c>
      <c r="AE19" s="9">
        <v>1859503</v>
      </c>
      <c r="AF19" s="9">
        <v>25216306</v>
      </c>
      <c r="AG19" s="6">
        <v>18320274</v>
      </c>
      <c r="AH19" s="6">
        <v>228070</v>
      </c>
      <c r="AI19" s="6">
        <v>0</v>
      </c>
      <c r="AJ19" s="6">
        <v>62101723</v>
      </c>
      <c r="AK19" s="6">
        <v>1147080</v>
      </c>
      <c r="AM19" s="6">
        <f t="shared" si="3"/>
        <v>-6969315</v>
      </c>
      <c r="AN19" s="6">
        <f t="shared" si="4"/>
        <v>-382360</v>
      </c>
      <c r="AO19" s="9">
        <f t="shared" si="5"/>
        <v>-117956</v>
      </c>
      <c r="AP19" s="6">
        <f t="shared" si="6"/>
        <v>-228070</v>
      </c>
      <c r="AQ19" s="9">
        <f t="shared" si="7"/>
        <v>47040243</v>
      </c>
      <c r="AR19" s="6">
        <f t="shared" si="8"/>
        <v>-22985521</v>
      </c>
      <c r="AS19" s="9">
        <f t="shared" si="9"/>
        <v>67245727</v>
      </c>
      <c r="AT19" s="9">
        <f t="shared" si="10"/>
        <v>-573878</v>
      </c>
      <c r="AU19" s="6">
        <f t="shared" si="11"/>
        <v>0</v>
      </c>
      <c r="AV19" s="238">
        <f t="shared" si="12"/>
        <v>300017846</v>
      </c>
    </row>
    <row r="20" spans="1:48" x14ac:dyDescent="0.25">
      <c r="A20" t="s">
        <v>49</v>
      </c>
      <c r="B20">
        <v>21800</v>
      </c>
      <c r="C20" s="6">
        <f>VLOOKUP(B20,'ER Contributions'!A:D,4,FALSE)</f>
        <v>8620773</v>
      </c>
      <c r="D20" s="7">
        <f>VLOOKUP(B20,'ER Contributions'!A:D,3,FALSE)</f>
        <v>5.5890000000000002E-3</v>
      </c>
      <c r="E20" s="9">
        <f>VLOOKUP(B20,'75 - Summary Exhibit'!A:N,3,FALSE)</f>
        <v>190095860</v>
      </c>
      <c r="F20" s="9">
        <f>VLOOKUP(B20,'75 - Summary Exhibit'!A:N,4,FALSE)</f>
        <v>1549392</v>
      </c>
      <c r="G20" s="9">
        <f>VLOOKUP(B20,'75 - Summary Exhibit'!A:N,5,FALSE)</f>
        <v>814592</v>
      </c>
      <c r="H20" s="9">
        <f>VLOOKUP(B20,'75 - Summary Exhibit'!A:N,6,FALSE)</f>
        <v>45782845</v>
      </c>
      <c r="I20" s="6">
        <f>VLOOKUP(B20,'75 - Summary Exhibit'!A:N,7,FALSE)</f>
        <v>921712</v>
      </c>
      <c r="J20" s="6">
        <f>VLOOKUP(B20,'75 - Summary Exhibit'!A:N,8,FALSE)</f>
        <v>0</v>
      </c>
      <c r="K20" s="6">
        <f>VLOOKUP(B20,'75 - Summary Exhibit'!A:N,9,FALSE)</f>
        <v>0</v>
      </c>
      <c r="L20" s="6">
        <f>VLOOKUP(B20,'75 - Summary Exhibit'!A:N,10,FALSE)</f>
        <v>24784619</v>
      </c>
      <c r="M20" s="6">
        <f>VLOOKUP(B20,'75 - Summary Exhibit'!A:N,11,FALSE)</f>
        <v>5137480</v>
      </c>
      <c r="N20" s="6">
        <f>VLOOKUP(B20,'75 - Summary Exhibit'!A:N,12,FALSE)</f>
        <v>5286989</v>
      </c>
      <c r="O20" s="6">
        <f>VLOOKUP(B20,'75 - Summary Exhibit'!A:N,13,FALSE)</f>
        <v>-212187</v>
      </c>
      <c r="P20" s="6">
        <f t="shared" si="0"/>
        <v>5074802</v>
      </c>
      <c r="Q20" s="6">
        <f>VLOOKUP(B20,'75- Deferred Amortization'!A:G,3,FALSE)</f>
        <v>-2511521</v>
      </c>
      <c r="R20" s="6">
        <f>VLOOKUP(B20,'75- Deferred Amortization'!A:G,4,FALSE)</f>
        <v>2551982</v>
      </c>
      <c r="S20" s="6">
        <f>VLOOKUP(B20,'75- Deferred Amortization'!A:G,5,FALSE)</f>
        <v>10579595</v>
      </c>
      <c r="T20" s="6">
        <f>VLOOKUP(B20,'75- Deferred Amortization'!A:G,6,FALSE)</f>
        <v>8526386</v>
      </c>
      <c r="U20" s="6">
        <f>VLOOKUP(B20,'75- Deferred Amortization'!A:G,7,FALSE)</f>
        <v>0</v>
      </c>
      <c r="V20" s="6">
        <f t="shared" si="1"/>
        <v>0</v>
      </c>
      <c r="W20" s="6">
        <f t="shared" si="2"/>
        <v>0</v>
      </c>
      <c r="X20">
        <v>1</v>
      </c>
      <c r="Z20" s="205">
        <f>VLOOKUP(B20,'Noncap Contr Alloc'!A:C,3,FALSE)</f>
        <v>57835</v>
      </c>
      <c r="AC20" s="9">
        <v>151055149</v>
      </c>
      <c r="AD20" s="9">
        <v>1663413</v>
      </c>
      <c r="AE20" s="9">
        <v>1206706</v>
      </c>
      <c r="AF20" s="9">
        <v>16363871</v>
      </c>
      <c r="AG20" s="6">
        <v>2619763</v>
      </c>
      <c r="AH20" s="6">
        <v>148004</v>
      </c>
      <c r="AI20" s="6">
        <v>0</v>
      </c>
      <c r="AJ20" s="6">
        <v>40300295</v>
      </c>
      <c r="AK20" s="6">
        <v>4903529</v>
      </c>
      <c r="AM20" s="6">
        <f t="shared" si="3"/>
        <v>-1698051</v>
      </c>
      <c r="AN20" s="6">
        <f t="shared" si="4"/>
        <v>233951</v>
      </c>
      <c r="AO20" s="9">
        <f t="shared" si="5"/>
        <v>-114021</v>
      </c>
      <c r="AP20" s="6">
        <f t="shared" si="6"/>
        <v>-148004</v>
      </c>
      <c r="AQ20" s="9">
        <f t="shared" si="7"/>
        <v>29418974</v>
      </c>
      <c r="AR20" s="6">
        <f t="shared" si="8"/>
        <v>-15515676</v>
      </c>
      <c r="AS20" s="9">
        <f t="shared" si="9"/>
        <v>39040711</v>
      </c>
      <c r="AT20" s="9">
        <f t="shared" si="10"/>
        <v>-392114</v>
      </c>
      <c r="AU20" s="6">
        <f t="shared" si="11"/>
        <v>0</v>
      </c>
      <c r="AV20" s="238">
        <f t="shared" si="12"/>
        <v>190095860</v>
      </c>
    </row>
    <row r="21" spans="1:48" x14ac:dyDescent="0.25">
      <c r="A21" t="s">
        <v>50</v>
      </c>
      <c r="B21">
        <v>21900</v>
      </c>
      <c r="C21" s="6">
        <f>VLOOKUP(B21,'ER Contributions'!A:D,4,FALSE)</f>
        <v>4158553</v>
      </c>
      <c r="D21" s="7">
        <f>VLOOKUP(B21,'ER Contributions'!A:D,3,FALSE)</f>
        <v>2.4713000000000001E-3</v>
      </c>
      <c r="E21" s="9">
        <f>VLOOKUP(B21,'75 - Summary Exhibit'!A:N,3,FALSE)</f>
        <v>84055524</v>
      </c>
      <c r="F21" s="9">
        <f>VLOOKUP(B21,'75 - Summary Exhibit'!A:N,4,FALSE)</f>
        <v>685102</v>
      </c>
      <c r="G21" s="9">
        <f>VLOOKUP(B21,'75 - Summary Exhibit'!A:N,5,FALSE)</f>
        <v>360192</v>
      </c>
      <c r="H21" s="9">
        <f>VLOOKUP(B21,'75 - Summary Exhibit'!A:N,6,FALSE)</f>
        <v>20244002</v>
      </c>
      <c r="I21" s="6">
        <f>VLOOKUP(B21,'75 - Summary Exhibit'!A:N,7,FALSE)</f>
        <v>0</v>
      </c>
      <c r="J21" s="6">
        <f>VLOOKUP(B21,'75 - Summary Exhibit'!A:N,8,FALSE)</f>
        <v>0</v>
      </c>
      <c r="K21" s="6">
        <f>VLOOKUP(B21,'75 - Summary Exhibit'!A:N,9,FALSE)</f>
        <v>0</v>
      </c>
      <c r="L21" s="6">
        <f>VLOOKUP(B21,'75 - Summary Exhibit'!A:N,10,FALSE)</f>
        <v>10959124</v>
      </c>
      <c r="M21" s="6">
        <f>VLOOKUP(B21,'75 - Summary Exhibit'!A:N,11,FALSE)</f>
        <v>5675916</v>
      </c>
      <c r="N21" s="6">
        <f>VLOOKUP(B21,'75 - Summary Exhibit'!A:N,12,FALSE)</f>
        <v>2337772</v>
      </c>
      <c r="O21" s="6">
        <f>VLOOKUP(B21,'75 - Summary Exhibit'!A:N,13,FALSE)</f>
        <v>-4275639</v>
      </c>
      <c r="P21" s="6">
        <f t="shared" si="0"/>
        <v>-1937867</v>
      </c>
      <c r="Q21" s="6">
        <f>VLOOKUP(B21,'75- Deferred Amortization'!A:G,3,FALSE)</f>
        <v>-3737028</v>
      </c>
      <c r="R21" s="6">
        <f>VLOOKUP(B21,'75- Deferred Amortization'!A:G,4,FALSE)</f>
        <v>-175110</v>
      </c>
      <c r="S21" s="6">
        <f>VLOOKUP(B21,'75- Deferred Amortization'!A:G,5,FALSE)</f>
        <v>4743724</v>
      </c>
      <c r="T21" s="6">
        <f>VLOOKUP(B21,'75- Deferred Amortization'!A:G,6,FALSE)</f>
        <v>3822671</v>
      </c>
      <c r="U21" s="6">
        <f>VLOOKUP(B21,'75- Deferred Amortization'!A:G,7,FALSE)</f>
        <v>0</v>
      </c>
      <c r="V21" s="6">
        <f t="shared" si="1"/>
        <v>2</v>
      </c>
      <c r="W21" s="6">
        <f t="shared" si="2"/>
        <v>-1</v>
      </c>
      <c r="X21">
        <v>1</v>
      </c>
      <c r="Z21" s="205">
        <f>VLOOKUP(B21,'Noncap Contr Alloc'!A:C,3,FALSE)</f>
        <v>25573</v>
      </c>
      <c r="AC21" s="9">
        <v>66866432</v>
      </c>
      <c r="AD21" s="9">
        <v>736330</v>
      </c>
      <c r="AE21" s="9">
        <v>534163</v>
      </c>
      <c r="AF21" s="9">
        <v>7243670</v>
      </c>
      <c r="AG21" s="6">
        <v>0</v>
      </c>
      <c r="AH21" s="6">
        <v>65516</v>
      </c>
      <c r="AI21" s="6">
        <v>0</v>
      </c>
      <c r="AJ21" s="6">
        <v>17839424</v>
      </c>
      <c r="AK21" s="6">
        <v>9266054</v>
      </c>
      <c r="AM21" s="6">
        <f t="shared" si="3"/>
        <v>0</v>
      </c>
      <c r="AN21" s="6">
        <f t="shared" si="4"/>
        <v>-3590138</v>
      </c>
      <c r="AO21" s="9">
        <f t="shared" si="5"/>
        <v>-51228</v>
      </c>
      <c r="AP21" s="6">
        <f t="shared" si="6"/>
        <v>-65516</v>
      </c>
      <c r="AQ21" s="9">
        <f t="shared" si="7"/>
        <v>13000332</v>
      </c>
      <c r="AR21" s="6">
        <f t="shared" si="8"/>
        <v>-6880300</v>
      </c>
      <c r="AS21" s="9">
        <f t="shared" si="9"/>
        <v>17189092</v>
      </c>
      <c r="AT21" s="9">
        <f t="shared" si="10"/>
        <v>-173971</v>
      </c>
      <c r="AU21" s="6">
        <f t="shared" si="11"/>
        <v>0</v>
      </c>
      <c r="AV21" s="238">
        <f t="shared" si="12"/>
        <v>84055524</v>
      </c>
    </row>
    <row r="22" spans="1:48" x14ac:dyDescent="0.25">
      <c r="A22" t="s">
        <v>54</v>
      </c>
      <c r="B22">
        <v>30105</v>
      </c>
      <c r="C22" s="6">
        <f>VLOOKUP(B22,'ER Contributions'!A:D,4,FALSE)</f>
        <v>1138483</v>
      </c>
      <c r="D22" s="7">
        <f>VLOOKUP(B22,'ER Contributions'!A:D,3,FALSE)</f>
        <v>7.2320000000000001E-4</v>
      </c>
      <c r="E22" s="9">
        <f>VLOOKUP(B22,'75 - Summary Exhibit'!A:N,3,FALSE)</f>
        <v>24599272</v>
      </c>
      <c r="F22" s="9">
        <f>VLOOKUP(B22,'75 - Summary Exhibit'!A:N,4,FALSE)</f>
        <v>200498</v>
      </c>
      <c r="G22" s="9">
        <f>VLOOKUP(B22,'75 - Summary Exhibit'!A:N,5,FALSE)</f>
        <v>105412</v>
      </c>
      <c r="H22" s="9">
        <f>VLOOKUP(B22,'75 - Summary Exhibit'!A:N,6,FALSE)</f>
        <v>5924509</v>
      </c>
      <c r="I22" s="6">
        <f>VLOOKUP(B22,'75 - Summary Exhibit'!A:N,7,FALSE)</f>
        <v>1144868</v>
      </c>
      <c r="J22" s="6">
        <f>VLOOKUP(B22,'75 - Summary Exhibit'!A:N,8,FALSE)</f>
        <v>0</v>
      </c>
      <c r="K22" s="6">
        <f>VLOOKUP(B22,'75 - Summary Exhibit'!A:N,9,FALSE)</f>
        <v>0</v>
      </c>
      <c r="L22" s="6">
        <f>VLOOKUP(B22,'75 - Summary Exhibit'!A:N,10,FALSE)</f>
        <v>3207243</v>
      </c>
      <c r="M22" s="6">
        <f>VLOOKUP(B22,'75 - Summary Exhibit'!A:N,11,FALSE)</f>
        <v>564961</v>
      </c>
      <c r="N22" s="6">
        <f>VLOOKUP(B22,'75 - Summary Exhibit'!A:N,12,FALSE)</f>
        <v>684159</v>
      </c>
      <c r="O22" s="6">
        <f>VLOOKUP(B22,'75 - Summary Exhibit'!A:N,13,FALSE)</f>
        <v>-295816</v>
      </c>
      <c r="P22" s="6">
        <f t="shared" si="0"/>
        <v>388343</v>
      </c>
      <c r="Q22" s="6">
        <f>VLOOKUP(B22,'75- Deferred Amortization'!A:G,3,FALSE)</f>
        <v>-288891</v>
      </c>
      <c r="R22" s="6">
        <f>VLOOKUP(B22,'75- Deferred Amortization'!A:G,4,FALSE)</f>
        <v>814603</v>
      </c>
      <c r="S22" s="6">
        <f>VLOOKUP(B22,'75- Deferred Amortization'!A:G,5,FALSE)</f>
        <v>1679534</v>
      </c>
      <c r="T22" s="6">
        <f>VLOOKUP(B22,'75- Deferred Amortization'!A:G,6,FALSE)</f>
        <v>1397838</v>
      </c>
      <c r="U22" s="6">
        <f>VLOOKUP(B22,'75- Deferred Amortization'!A:G,7,FALSE)</f>
        <v>0</v>
      </c>
      <c r="V22" s="6">
        <f t="shared" si="1"/>
        <v>-2</v>
      </c>
      <c r="W22" s="6">
        <f t="shared" si="2"/>
        <v>-1</v>
      </c>
      <c r="X22">
        <v>2</v>
      </c>
      <c r="Z22" s="205">
        <f>VLOOKUP(B22,'Noncap Contr Alloc'!A:C,3,FALSE)</f>
        <v>7484</v>
      </c>
      <c r="AC22" s="9">
        <v>18276223</v>
      </c>
      <c r="AD22" s="9">
        <v>201257</v>
      </c>
      <c r="AE22" s="9">
        <v>146000</v>
      </c>
      <c r="AF22" s="9">
        <v>1979871</v>
      </c>
      <c r="AG22" s="6">
        <v>283356</v>
      </c>
      <c r="AH22" s="6">
        <v>17907</v>
      </c>
      <c r="AI22" s="6">
        <v>0</v>
      </c>
      <c r="AJ22" s="6">
        <v>4875949</v>
      </c>
      <c r="AK22" s="6">
        <v>1194216</v>
      </c>
      <c r="AM22" s="6">
        <f t="shared" si="3"/>
        <v>861512</v>
      </c>
      <c r="AN22" s="6">
        <f t="shared" si="4"/>
        <v>-629255</v>
      </c>
      <c r="AO22" s="9">
        <f t="shared" si="5"/>
        <v>-759</v>
      </c>
      <c r="AP22" s="6">
        <f t="shared" si="6"/>
        <v>-17907</v>
      </c>
      <c r="AQ22" s="9">
        <f t="shared" si="7"/>
        <v>3944638</v>
      </c>
      <c r="AR22" s="6">
        <f t="shared" si="8"/>
        <v>-1668706</v>
      </c>
      <c r="AS22" s="9">
        <f t="shared" si="9"/>
        <v>6323049</v>
      </c>
      <c r="AT22" s="9">
        <f t="shared" si="10"/>
        <v>-40588</v>
      </c>
      <c r="AU22" s="6">
        <f t="shared" si="11"/>
        <v>0</v>
      </c>
      <c r="AV22" s="238">
        <f t="shared" si="12"/>
        <v>24599272</v>
      </c>
    </row>
    <row r="23" spans="1:48" x14ac:dyDescent="0.25">
      <c r="A23" t="s">
        <v>59</v>
      </c>
      <c r="B23">
        <v>31105</v>
      </c>
      <c r="C23" s="6">
        <f>VLOOKUP(B23,'ER Contributions'!A:D,4,FALSE)</f>
        <v>2014952</v>
      </c>
      <c r="D23" s="7">
        <f>VLOOKUP(B23,'ER Contributions'!A:D,3,FALSE)</f>
        <v>1.2715000000000001E-3</v>
      </c>
      <c r="E23" s="9">
        <f>VLOOKUP(B23,'75 - Summary Exhibit'!A:N,3,FALSE)</f>
        <v>43245317</v>
      </c>
      <c r="F23" s="9">
        <f>VLOOKUP(B23,'75 - Summary Exhibit'!A:N,4,FALSE)</f>
        <v>352475</v>
      </c>
      <c r="G23" s="9">
        <f>VLOOKUP(B23,'75 - Summary Exhibit'!A:N,5,FALSE)</f>
        <v>185313</v>
      </c>
      <c r="H23" s="9">
        <f>VLOOKUP(B23,'75 - Summary Exhibit'!A:N,6,FALSE)</f>
        <v>10415238</v>
      </c>
      <c r="I23" s="6">
        <f>VLOOKUP(B23,'75 - Summary Exhibit'!A:N,7,FALSE)</f>
        <v>344596</v>
      </c>
      <c r="J23" s="6">
        <f>VLOOKUP(B23,'75 - Summary Exhibit'!A:N,8,FALSE)</f>
        <v>0</v>
      </c>
      <c r="K23" s="6">
        <f>VLOOKUP(B23,'75 - Summary Exhibit'!A:N,9,FALSE)</f>
        <v>0</v>
      </c>
      <c r="L23" s="6">
        <f>VLOOKUP(B23,'75 - Summary Exhibit'!A:N,10,FALSE)</f>
        <v>5638306</v>
      </c>
      <c r="M23" s="6">
        <f>VLOOKUP(B23,'75 - Summary Exhibit'!A:N,11,FALSE)</f>
        <v>703515</v>
      </c>
      <c r="N23" s="6">
        <f>VLOOKUP(B23,'75 - Summary Exhibit'!A:N,12,FALSE)</f>
        <v>1202749</v>
      </c>
      <c r="O23" s="6">
        <f>VLOOKUP(B23,'75 - Summary Exhibit'!A:N,13,FALSE)</f>
        <v>-668800</v>
      </c>
      <c r="P23" s="6">
        <f t="shared" si="0"/>
        <v>533949</v>
      </c>
      <c r="Q23" s="6">
        <f>VLOOKUP(B23,'75- Deferred Amortization'!A:G,3,FALSE)</f>
        <v>-692683</v>
      </c>
      <c r="R23" s="6">
        <f>VLOOKUP(B23,'75- Deferred Amortization'!A:G,4,FALSE)</f>
        <v>936057</v>
      </c>
      <c r="S23" s="6">
        <f>VLOOKUP(B23,'75- Deferred Amortization'!A:G,5,FALSE)</f>
        <v>2653695</v>
      </c>
      <c r="T23" s="6">
        <f>VLOOKUP(B23,'75- Deferred Amortization'!A:G,6,FALSE)</f>
        <v>2058731</v>
      </c>
      <c r="U23" s="6">
        <f>VLOOKUP(B23,'75- Deferred Amortization'!A:G,7,FALSE)</f>
        <v>0</v>
      </c>
      <c r="V23" s="6">
        <f t="shared" si="1"/>
        <v>1</v>
      </c>
      <c r="W23" s="6">
        <f t="shared" si="2"/>
        <v>1</v>
      </c>
      <c r="X23">
        <v>2</v>
      </c>
      <c r="Z23" s="205">
        <f>VLOOKUP(B23,'Noncap Contr Alloc'!A:C,3,FALSE)</f>
        <v>13157</v>
      </c>
      <c r="AC23" s="9">
        <v>33889101</v>
      </c>
      <c r="AD23" s="9">
        <v>373185</v>
      </c>
      <c r="AE23" s="9">
        <v>270724</v>
      </c>
      <c r="AF23" s="9">
        <v>3671221</v>
      </c>
      <c r="AG23" s="6">
        <v>376275</v>
      </c>
      <c r="AH23" s="6">
        <v>33205</v>
      </c>
      <c r="AI23" s="6">
        <v>0</v>
      </c>
      <c r="AJ23" s="6">
        <v>9041339</v>
      </c>
      <c r="AK23" s="6">
        <v>1511437</v>
      </c>
      <c r="AM23" s="6">
        <f t="shared" si="3"/>
        <v>-31679</v>
      </c>
      <c r="AN23" s="6">
        <f t="shared" si="4"/>
        <v>-807922</v>
      </c>
      <c r="AO23" s="9">
        <f t="shared" si="5"/>
        <v>-20710</v>
      </c>
      <c r="AP23" s="6">
        <f t="shared" si="6"/>
        <v>-33205</v>
      </c>
      <c r="AQ23" s="9">
        <f t="shared" si="7"/>
        <v>6744017</v>
      </c>
      <c r="AR23" s="6">
        <f t="shared" si="8"/>
        <v>-3403033</v>
      </c>
      <c r="AS23" s="9">
        <f t="shared" si="9"/>
        <v>9356216</v>
      </c>
      <c r="AT23" s="9">
        <f t="shared" si="10"/>
        <v>-85411</v>
      </c>
      <c r="AU23" s="6">
        <f t="shared" si="11"/>
        <v>0</v>
      </c>
      <c r="AV23" s="238">
        <f t="shared" si="12"/>
        <v>43245317</v>
      </c>
    </row>
    <row r="24" spans="1:48" x14ac:dyDescent="0.25">
      <c r="A24" t="s">
        <v>56</v>
      </c>
      <c r="B24">
        <v>30705</v>
      </c>
      <c r="C24" s="6">
        <f>VLOOKUP(B24,'ER Contributions'!A:D,4,FALSE)</f>
        <v>717928</v>
      </c>
      <c r="D24" s="7">
        <f>VLOOKUP(B24,'ER Contributions'!A:D,3,FALSE)</f>
        <v>4.3879999999999999E-4</v>
      </c>
      <c r="E24" s="9">
        <f>VLOOKUP(B24,'75 - Summary Exhibit'!A:N,3,FALSE)</f>
        <v>14924391</v>
      </c>
      <c r="F24" s="9">
        <f>VLOOKUP(B24,'75 - Summary Exhibit'!A:N,4,FALSE)</f>
        <v>121643</v>
      </c>
      <c r="G24" s="9">
        <f>VLOOKUP(B24,'75 - Summary Exhibit'!A:N,5,FALSE)</f>
        <v>63953</v>
      </c>
      <c r="H24" s="9">
        <f>VLOOKUP(B24,'75 - Summary Exhibit'!A:N,6,FALSE)</f>
        <v>3594403</v>
      </c>
      <c r="I24" s="6">
        <f>VLOOKUP(B24,'75 - Summary Exhibit'!A:N,7,FALSE)</f>
        <v>804867</v>
      </c>
      <c r="J24" s="6">
        <f>VLOOKUP(B24,'75 - Summary Exhibit'!A:N,8,FALSE)</f>
        <v>0</v>
      </c>
      <c r="K24" s="6">
        <f>VLOOKUP(B24,'75 - Summary Exhibit'!A:N,9,FALSE)</f>
        <v>0</v>
      </c>
      <c r="L24" s="6">
        <f>VLOOKUP(B24,'75 - Summary Exhibit'!A:N,10,FALSE)</f>
        <v>1945836</v>
      </c>
      <c r="M24" s="6">
        <f>VLOOKUP(B24,'75 - Summary Exhibit'!A:N,11,FALSE)</f>
        <v>47683</v>
      </c>
      <c r="N24" s="6">
        <f>VLOOKUP(B24,'75 - Summary Exhibit'!A:N,12,FALSE)</f>
        <v>415079</v>
      </c>
      <c r="O24" s="6">
        <f>VLOOKUP(B24,'75 - Summary Exhibit'!A:N,13,FALSE)</f>
        <v>184046</v>
      </c>
      <c r="P24" s="6">
        <f t="shared" si="0"/>
        <v>599125</v>
      </c>
      <c r="Q24" s="6">
        <f>VLOOKUP(B24,'75- Deferred Amortization'!A:G,3,FALSE)</f>
        <v>128940</v>
      </c>
      <c r="R24" s="6">
        <f>VLOOKUP(B24,'75- Deferred Amortization'!A:G,4,FALSE)</f>
        <v>577797</v>
      </c>
      <c r="S24" s="6">
        <f>VLOOKUP(B24,'75- Deferred Amortization'!A:G,5,FALSE)</f>
        <v>1099837</v>
      </c>
      <c r="T24" s="6">
        <f>VLOOKUP(B24,'75- Deferred Amortization'!A:G,6,FALSE)</f>
        <v>784773</v>
      </c>
      <c r="U24" s="6">
        <f>VLOOKUP(B24,'75- Deferred Amortization'!A:G,7,FALSE)</f>
        <v>0</v>
      </c>
      <c r="V24" s="6">
        <f t="shared" si="1"/>
        <v>-2</v>
      </c>
      <c r="W24" s="6">
        <f t="shared" si="2"/>
        <v>0</v>
      </c>
      <c r="X24">
        <v>2</v>
      </c>
      <c r="Z24" s="205">
        <f>VLOOKUP(B24,'Noncap Contr Alloc'!A:C,3,FALSE)</f>
        <v>4541</v>
      </c>
      <c r="AC24" s="9">
        <v>11389560</v>
      </c>
      <c r="AD24" s="9">
        <v>125421</v>
      </c>
      <c r="AE24" s="9">
        <v>90986</v>
      </c>
      <c r="AF24" s="9">
        <v>1233836</v>
      </c>
      <c r="AG24" s="6">
        <v>658198</v>
      </c>
      <c r="AH24" s="6">
        <v>11159</v>
      </c>
      <c r="AI24" s="6">
        <v>0</v>
      </c>
      <c r="AJ24" s="6">
        <v>3038643</v>
      </c>
      <c r="AK24" s="6">
        <v>125465</v>
      </c>
      <c r="AM24" s="6">
        <f t="shared" si="3"/>
        <v>146669</v>
      </c>
      <c r="AN24" s="6">
        <f t="shared" si="4"/>
        <v>-77782</v>
      </c>
      <c r="AO24" s="9">
        <f t="shared" si="5"/>
        <v>-3778</v>
      </c>
      <c r="AP24" s="6">
        <f t="shared" si="6"/>
        <v>-11159</v>
      </c>
      <c r="AQ24" s="9">
        <f t="shared" si="7"/>
        <v>2360567</v>
      </c>
      <c r="AR24" s="6">
        <f t="shared" si="8"/>
        <v>-1092807</v>
      </c>
      <c r="AS24" s="9">
        <f t="shared" si="9"/>
        <v>3534831</v>
      </c>
      <c r="AT24" s="9">
        <f t="shared" si="10"/>
        <v>-27033</v>
      </c>
      <c r="AU24" s="6">
        <f t="shared" si="11"/>
        <v>0</v>
      </c>
      <c r="AV24" s="238">
        <f t="shared" si="12"/>
        <v>14924391</v>
      </c>
    </row>
    <row r="25" spans="1:48" x14ac:dyDescent="0.25">
      <c r="A25" t="s">
        <v>57</v>
      </c>
      <c r="B25">
        <v>30905</v>
      </c>
      <c r="C25" s="6">
        <f>VLOOKUP(B25,'ER Contributions'!A:D,4,FALSE)</f>
        <v>478131</v>
      </c>
      <c r="D25" s="7">
        <f>VLOOKUP(B25,'ER Contributions'!A:D,3,FALSE)</f>
        <v>2.3809999999999999E-4</v>
      </c>
      <c r="E25" s="9">
        <f>VLOOKUP(B25,'75 - Summary Exhibit'!A:N,3,FALSE)</f>
        <v>8097231</v>
      </c>
      <c r="F25" s="9">
        <f>VLOOKUP(B25,'75 - Summary Exhibit'!A:N,4,FALSE)</f>
        <v>65997</v>
      </c>
      <c r="G25" s="9">
        <f>VLOOKUP(B25,'75 - Summary Exhibit'!A:N,5,FALSE)</f>
        <v>34698</v>
      </c>
      <c r="H25" s="9">
        <f>VLOOKUP(B25,'75 - Summary Exhibit'!A:N,6,FALSE)</f>
        <v>1950144</v>
      </c>
      <c r="I25" s="6">
        <f>VLOOKUP(B25,'75 - Summary Exhibit'!A:N,7,FALSE)</f>
        <v>331772</v>
      </c>
      <c r="J25" s="6">
        <f>VLOOKUP(B25,'75 - Summary Exhibit'!A:N,8,FALSE)</f>
        <v>0</v>
      </c>
      <c r="K25" s="6">
        <f>VLOOKUP(B25,'75 - Summary Exhibit'!A:N,9,FALSE)</f>
        <v>0</v>
      </c>
      <c r="L25" s="6">
        <f>VLOOKUP(B25,'75 - Summary Exhibit'!A:N,10,FALSE)</f>
        <v>1055714</v>
      </c>
      <c r="M25" s="6">
        <f>VLOOKUP(B25,'75 - Summary Exhibit'!A:N,11,FALSE)</f>
        <v>393818</v>
      </c>
      <c r="N25" s="6">
        <f>VLOOKUP(B25,'75 - Summary Exhibit'!A:N,12,FALSE)</f>
        <v>225201</v>
      </c>
      <c r="O25" s="6">
        <f>VLOOKUP(B25,'75 - Summary Exhibit'!A:N,13,FALSE)</f>
        <v>-88003</v>
      </c>
      <c r="P25" s="6">
        <f t="shared" si="0"/>
        <v>137198</v>
      </c>
      <c r="Q25" s="6">
        <f>VLOOKUP(B25,'75- Deferred Amortization'!A:G,3,FALSE)</f>
        <v>-140167</v>
      </c>
      <c r="R25" s="6">
        <f>VLOOKUP(B25,'75- Deferred Amortization'!A:G,4,FALSE)</f>
        <v>85930</v>
      </c>
      <c r="S25" s="6">
        <f>VLOOKUP(B25,'75- Deferred Amortization'!A:G,5,FALSE)</f>
        <v>522922</v>
      </c>
      <c r="T25" s="6">
        <f>VLOOKUP(B25,'75- Deferred Amortization'!A:G,6,FALSE)</f>
        <v>464395</v>
      </c>
      <c r="U25" s="6">
        <f>VLOOKUP(B25,'75- Deferred Amortization'!A:G,7,FALSE)</f>
        <v>0</v>
      </c>
      <c r="V25" s="6">
        <f t="shared" si="1"/>
        <v>-4</v>
      </c>
      <c r="W25" s="6">
        <f t="shared" si="2"/>
        <v>-1</v>
      </c>
      <c r="X25">
        <v>2</v>
      </c>
      <c r="Z25" s="205">
        <f>VLOOKUP(B25,'Noncap Contr Alloc'!A:C,3,FALSE)</f>
        <v>2464</v>
      </c>
      <c r="AC25" s="9">
        <v>6087807</v>
      </c>
      <c r="AD25" s="9">
        <v>67039</v>
      </c>
      <c r="AE25" s="9">
        <v>48633</v>
      </c>
      <c r="AF25" s="9">
        <v>659495</v>
      </c>
      <c r="AG25" s="6">
        <v>4684</v>
      </c>
      <c r="AH25" s="6">
        <v>5965</v>
      </c>
      <c r="AI25" s="6">
        <v>0</v>
      </c>
      <c r="AJ25" s="6">
        <v>1624178</v>
      </c>
      <c r="AK25" s="6">
        <v>569446</v>
      </c>
      <c r="AM25" s="6">
        <f t="shared" si="3"/>
        <v>327088</v>
      </c>
      <c r="AN25" s="6">
        <f t="shared" si="4"/>
        <v>-175628</v>
      </c>
      <c r="AO25" s="9">
        <f t="shared" si="5"/>
        <v>-1042</v>
      </c>
      <c r="AP25" s="6">
        <f t="shared" si="6"/>
        <v>-5965</v>
      </c>
      <c r="AQ25" s="9">
        <f t="shared" si="7"/>
        <v>1290649</v>
      </c>
      <c r="AR25" s="6">
        <f t="shared" si="8"/>
        <v>-568464</v>
      </c>
      <c r="AS25" s="9">
        <f t="shared" si="9"/>
        <v>2009424</v>
      </c>
      <c r="AT25" s="9">
        <f t="shared" si="10"/>
        <v>-13935</v>
      </c>
      <c r="AU25" s="6">
        <f t="shared" si="11"/>
        <v>0</v>
      </c>
      <c r="AV25" s="238">
        <f t="shared" si="12"/>
        <v>8097231</v>
      </c>
    </row>
    <row r="26" spans="1:48" x14ac:dyDescent="0.25">
      <c r="A26" t="s">
        <v>78</v>
      </c>
      <c r="B26">
        <v>34505</v>
      </c>
      <c r="C26" s="6">
        <f>VLOOKUP(B26,'ER Contributions'!A:D,4,FALSE)</f>
        <v>1015607</v>
      </c>
      <c r="D26" s="7">
        <f>VLOOKUP(B26,'ER Contributions'!A:D,3,FALSE)</f>
        <v>5.9559999999999995E-4</v>
      </c>
      <c r="E26" s="9">
        <f>VLOOKUP(B26,'75 - Summary Exhibit'!A:N,3,FALSE)</f>
        <v>20256572</v>
      </c>
      <c r="F26" s="9">
        <f>VLOOKUP(B26,'75 - Summary Exhibit'!A:N,4,FALSE)</f>
        <v>165103</v>
      </c>
      <c r="G26" s="9">
        <f>VLOOKUP(B26,'75 - Summary Exhibit'!A:N,5,FALSE)</f>
        <v>86803</v>
      </c>
      <c r="H26" s="9">
        <f>VLOOKUP(B26,'75 - Summary Exhibit'!A:N,6,FALSE)</f>
        <v>4878610</v>
      </c>
      <c r="I26" s="6">
        <f>VLOOKUP(B26,'75 - Summary Exhibit'!A:N,7,FALSE)</f>
        <v>791335</v>
      </c>
      <c r="J26" s="6">
        <f>VLOOKUP(B26,'75 - Summary Exhibit'!A:N,8,FALSE)</f>
        <v>0</v>
      </c>
      <c r="K26" s="6">
        <f>VLOOKUP(B26,'75 - Summary Exhibit'!A:N,9,FALSE)</f>
        <v>0</v>
      </c>
      <c r="L26" s="6">
        <f>VLOOKUP(B26,'75 - Summary Exhibit'!A:N,10,FALSE)</f>
        <v>2641043</v>
      </c>
      <c r="M26" s="6">
        <f>VLOOKUP(B26,'75 - Summary Exhibit'!A:N,11,FALSE)</f>
        <v>0</v>
      </c>
      <c r="N26" s="6">
        <f>VLOOKUP(B26,'75 - Summary Exhibit'!A:N,12,FALSE)</f>
        <v>563379</v>
      </c>
      <c r="O26" s="6">
        <f>VLOOKUP(B26,'75 - Summary Exhibit'!A:N,13,FALSE)</f>
        <v>216457</v>
      </c>
      <c r="P26" s="6">
        <f t="shared" si="0"/>
        <v>779836</v>
      </c>
      <c r="Q26" s="6">
        <f>VLOOKUP(B26,'75- Deferred Amortization'!A:G,3,FALSE)</f>
        <v>245678</v>
      </c>
      <c r="R26" s="6">
        <f>VLOOKUP(B26,'75- Deferred Amortization'!A:G,4,FALSE)</f>
        <v>695090</v>
      </c>
      <c r="S26" s="6">
        <f>VLOOKUP(B26,'75- Deferred Amortization'!A:G,5,FALSE)</f>
        <v>1325519</v>
      </c>
      <c r="T26" s="6">
        <f>VLOOKUP(B26,'75- Deferred Amortization'!A:G,6,FALSE)</f>
        <v>1014521</v>
      </c>
      <c r="U26" s="6">
        <f>VLOOKUP(B26,'75- Deferred Amortization'!A:G,7,FALSE)</f>
        <v>0</v>
      </c>
      <c r="V26" s="6">
        <f t="shared" si="1"/>
        <v>-1</v>
      </c>
      <c r="W26" s="6">
        <f t="shared" si="2"/>
        <v>0</v>
      </c>
      <c r="X26">
        <v>2</v>
      </c>
      <c r="Z26" s="205">
        <f>VLOOKUP(B26,'Noncap Contr Alloc'!A:C,3,FALSE)</f>
        <v>6163</v>
      </c>
      <c r="AC26" s="9">
        <v>15716921</v>
      </c>
      <c r="AD26" s="9">
        <v>173074</v>
      </c>
      <c r="AE26" s="9">
        <v>125555</v>
      </c>
      <c r="AF26" s="9">
        <v>1702621</v>
      </c>
      <c r="AG26" s="6">
        <v>854525</v>
      </c>
      <c r="AH26" s="6">
        <v>15399</v>
      </c>
      <c r="AI26" s="6">
        <v>0</v>
      </c>
      <c r="AJ26" s="6">
        <v>4193148</v>
      </c>
      <c r="AK26" s="6">
        <v>148004</v>
      </c>
      <c r="AM26" s="6">
        <f t="shared" si="3"/>
        <v>-63190</v>
      </c>
      <c r="AN26" s="6">
        <f t="shared" si="4"/>
        <v>-148004</v>
      </c>
      <c r="AO26" s="9">
        <f t="shared" si="5"/>
        <v>-7971</v>
      </c>
      <c r="AP26" s="6">
        <f t="shared" si="6"/>
        <v>-15399</v>
      </c>
      <c r="AQ26" s="9">
        <f t="shared" si="7"/>
        <v>3175989</v>
      </c>
      <c r="AR26" s="6">
        <f t="shared" si="8"/>
        <v>-1552105</v>
      </c>
      <c r="AS26" s="9">
        <f t="shared" si="9"/>
        <v>4539651</v>
      </c>
      <c r="AT26" s="9">
        <f t="shared" si="10"/>
        <v>-38752</v>
      </c>
      <c r="AU26" s="6">
        <f t="shared" si="11"/>
        <v>0</v>
      </c>
      <c r="AV26" s="238">
        <f t="shared" si="12"/>
        <v>20256572</v>
      </c>
    </row>
    <row r="27" spans="1:48" x14ac:dyDescent="0.25">
      <c r="A27" t="s">
        <v>58</v>
      </c>
      <c r="B27">
        <v>31005</v>
      </c>
      <c r="C27" s="6">
        <f>VLOOKUP(B27,'ER Contributions'!A:D,4,FALSE)</f>
        <v>704656</v>
      </c>
      <c r="D27" s="7">
        <f>VLOOKUP(B27,'ER Contributions'!A:D,3,FALSE)</f>
        <v>4.0119999999999999E-4</v>
      </c>
      <c r="E27" s="9">
        <f>VLOOKUP(B27,'75 - Summary Exhibit'!A:N,3,FALSE)</f>
        <v>13646246</v>
      </c>
      <c r="F27" s="9">
        <f>VLOOKUP(B27,'75 - Summary Exhibit'!A:N,4,FALSE)</f>
        <v>111225</v>
      </c>
      <c r="G27" s="9">
        <f>VLOOKUP(B27,'75 - Summary Exhibit'!A:N,5,FALSE)</f>
        <v>58476</v>
      </c>
      <c r="H27" s="9">
        <f>VLOOKUP(B27,'75 - Summary Exhibit'!A:N,6,FALSE)</f>
        <v>3286573</v>
      </c>
      <c r="I27" s="6">
        <f>VLOOKUP(B27,'75 - Summary Exhibit'!A:N,7,FALSE)</f>
        <v>709576</v>
      </c>
      <c r="J27" s="6">
        <f>VLOOKUP(B27,'75 - Summary Exhibit'!A:N,8,FALSE)</f>
        <v>0</v>
      </c>
      <c r="K27" s="6">
        <f>VLOOKUP(B27,'75 - Summary Exhibit'!A:N,9,FALSE)</f>
        <v>0</v>
      </c>
      <c r="L27" s="6">
        <f>VLOOKUP(B27,'75 - Summary Exhibit'!A:N,10,FALSE)</f>
        <v>1779192</v>
      </c>
      <c r="M27" s="6">
        <f>VLOOKUP(B27,'75 - Summary Exhibit'!A:N,11,FALSE)</f>
        <v>98281</v>
      </c>
      <c r="N27" s="6">
        <f>VLOOKUP(B27,'75 - Summary Exhibit'!A:N,12,FALSE)</f>
        <v>379533</v>
      </c>
      <c r="O27" s="6">
        <f>VLOOKUP(B27,'75 - Summary Exhibit'!A:N,13,FALSE)</f>
        <v>178837</v>
      </c>
      <c r="P27" s="6">
        <f t="shared" si="0"/>
        <v>558370</v>
      </c>
      <c r="Q27" s="6">
        <f>VLOOKUP(B27,'75- Deferred Amortization'!A:G,3,FALSE)</f>
        <v>114004</v>
      </c>
      <c r="R27" s="6">
        <f>VLOOKUP(B27,'75- Deferred Amortization'!A:G,4,FALSE)</f>
        <v>583321</v>
      </c>
      <c r="S27" s="6">
        <f>VLOOKUP(B27,'75- Deferred Amortization'!A:G,5,FALSE)</f>
        <v>931034</v>
      </c>
      <c r="T27" s="6">
        <f>VLOOKUP(B27,'75- Deferred Amortization'!A:G,6,FALSE)</f>
        <v>660019</v>
      </c>
      <c r="U27" s="6">
        <f>VLOOKUP(B27,'75- Deferred Amortization'!A:G,7,FALSE)</f>
        <v>0</v>
      </c>
      <c r="V27" s="6">
        <f t="shared" si="1"/>
        <v>0</v>
      </c>
      <c r="W27" s="6">
        <f t="shared" si="2"/>
        <v>-1</v>
      </c>
      <c r="X27">
        <v>2</v>
      </c>
      <c r="Z27" s="205">
        <f>VLOOKUP(B27,'Noncap Contr Alloc'!A:C,3,FALSE)</f>
        <v>4152</v>
      </c>
      <c r="AC27" s="9">
        <v>10708711</v>
      </c>
      <c r="AD27" s="9">
        <v>117924</v>
      </c>
      <c r="AE27" s="9">
        <v>85547</v>
      </c>
      <c r="AF27" s="9">
        <v>1160079</v>
      </c>
      <c r="AG27" s="6">
        <v>916091</v>
      </c>
      <c r="AH27" s="6">
        <v>10492</v>
      </c>
      <c r="AI27" s="6">
        <v>0</v>
      </c>
      <c r="AJ27" s="6">
        <v>2856998</v>
      </c>
      <c r="AK27" s="6">
        <v>211747</v>
      </c>
      <c r="AM27" s="6">
        <f t="shared" si="3"/>
        <v>-206515</v>
      </c>
      <c r="AN27" s="6">
        <f t="shared" si="4"/>
        <v>-113466</v>
      </c>
      <c r="AO27" s="9">
        <f t="shared" si="5"/>
        <v>-6699</v>
      </c>
      <c r="AP27" s="6">
        <f t="shared" si="6"/>
        <v>-10492</v>
      </c>
      <c r="AQ27" s="9">
        <f t="shared" si="7"/>
        <v>2126494</v>
      </c>
      <c r="AR27" s="6">
        <f t="shared" si="8"/>
        <v>-1077806</v>
      </c>
      <c r="AS27" s="9">
        <f t="shared" si="9"/>
        <v>2937535</v>
      </c>
      <c r="AT27" s="9">
        <f t="shared" si="10"/>
        <v>-27071</v>
      </c>
      <c r="AU27" s="6">
        <f t="shared" si="11"/>
        <v>0</v>
      </c>
      <c r="AV27" s="238">
        <f t="shared" si="12"/>
        <v>13646246</v>
      </c>
    </row>
    <row r="28" spans="1:48" x14ac:dyDescent="0.25">
      <c r="A28" t="s">
        <v>61</v>
      </c>
      <c r="B28">
        <v>31405</v>
      </c>
      <c r="C28" s="6">
        <f>VLOOKUP(B28,'ER Contributions'!A:D,4,FALSE)</f>
        <v>1379088</v>
      </c>
      <c r="D28" s="7">
        <f>VLOOKUP(B28,'ER Contributions'!A:D,3,FALSE)</f>
        <v>8.1150000000000005E-4</v>
      </c>
      <c r="E28" s="9">
        <f>VLOOKUP(B28,'75 - Summary Exhibit'!A:N,3,FALSE)</f>
        <v>27599734</v>
      </c>
      <c r="F28" s="9">
        <f>VLOOKUP(B28,'75 - Summary Exhibit'!A:N,4,FALSE)</f>
        <v>224954</v>
      </c>
      <c r="G28" s="9">
        <f>VLOOKUP(B28,'75 - Summary Exhibit'!A:N,5,FALSE)</f>
        <v>118269</v>
      </c>
      <c r="H28" s="9">
        <f>VLOOKUP(B28,'75 - Summary Exhibit'!A:N,6,FALSE)</f>
        <v>6647143</v>
      </c>
      <c r="I28" s="6">
        <f>VLOOKUP(B28,'75 - Summary Exhibit'!A:N,7,FALSE)</f>
        <v>2198738</v>
      </c>
      <c r="J28" s="6">
        <f>VLOOKUP(B28,'75 - Summary Exhibit'!A:N,8,FALSE)</f>
        <v>0</v>
      </c>
      <c r="K28" s="6">
        <f>VLOOKUP(B28,'75 - Summary Exhibit'!A:N,9,FALSE)</f>
        <v>0</v>
      </c>
      <c r="L28" s="6">
        <f>VLOOKUP(B28,'75 - Summary Exhibit'!A:N,10,FALSE)</f>
        <v>3598442</v>
      </c>
      <c r="M28" s="6">
        <f>VLOOKUP(B28,'75 - Summary Exhibit'!A:N,11,FALSE)</f>
        <v>274342</v>
      </c>
      <c r="N28" s="6">
        <f>VLOOKUP(B28,'75 - Summary Exhibit'!A:N,12,FALSE)</f>
        <v>767610</v>
      </c>
      <c r="O28" s="6">
        <f>VLOOKUP(B28,'75 - Summary Exhibit'!A:N,13,FALSE)</f>
        <v>175656</v>
      </c>
      <c r="P28" s="6">
        <f t="shared" si="0"/>
        <v>943266</v>
      </c>
      <c r="Q28" s="6">
        <f>VLOOKUP(B28,'75- Deferred Amortization'!A:G,3,FALSE)</f>
        <v>305596</v>
      </c>
      <c r="R28" s="6">
        <f>VLOOKUP(B28,'75- Deferred Amortization'!A:G,4,FALSE)</f>
        <v>1330364</v>
      </c>
      <c r="S28" s="6">
        <f>VLOOKUP(B28,'75- Deferred Amortization'!A:G,5,FALSE)</f>
        <v>2097465</v>
      </c>
      <c r="T28" s="6">
        <f>VLOOKUP(B28,'75- Deferred Amortization'!A:G,6,FALSE)</f>
        <v>1582896</v>
      </c>
      <c r="U28" s="6">
        <f>VLOOKUP(B28,'75- Deferred Amortization'!A:G,7,FALSE)</f>
        <v>0</v>
      </c>
      <c r="V28" s="6">
        <f t="shared" si="1"/>
        <v>-1</v>
      </c>
      <c r="W28" s="6">
        <f t="shared" si="2"/>
        <v>-1</v>
      </c>
      <c r="X28">
        <v>2</v>
      </c>
      <c r="Z28" s="205">
        <f>VLOOKUP(B28,'Noncap Contr Alloc'!A:C,3,FALSE)</f>
        <v>8397</v>
      </c>
      <c r="AC28" s="9">
        <v>20530821</v>
      </c>
      <c r="AD28" s="9">
        <v>226085</v>
      </c>
      <c r="AE28" s="9">
        <v>164011</v>
      </c>
      <c r="AF28" s="9">
        <v>2224113</v>
      </c>
      <c r="AG28" s="6">
        <v>1527018</v>
      </c>
      <c r="AH28" s="6">
        <v>20116</v>
      </c>
      <c r="AI28" s="6">
        <v>0</v>
      </c>
      <c r="AJ28" s="6">
        <v>5477457</v>
      </c>
      <c r="AK28" s="6">
        <v>840465</v>
      </c>
      <c r="AM28" s="6">
        <f t="shared" si="3"/>
        <v>671720</v>
      </c>
      <c r="AN28" s="6">
        <f t="shared" si="4"/>
        <v>-566123</v>
      </c>
      <c r="AO28" s="9">
        <f t="shared" si="5"/>
        <v>-1131</v>
      </c>
      <c r="AP28" s="6">
        <f t="shared" si="6"/>
        <v>-20116</v>
      </c>
      <c r="AQ28" s="9">
        <f t="shared" si="7"/>
        <v>4423030</v>
      </c>
      <c r="AR28" s="6">
        <f t="shared" si="8"/>
        <v>-1879015</v>
      </c>
      <c r="AS28" s="9">
        <f t="shared" si="9"/>
        <v>7068913</v>
      </c>
      <c r="AT28" s="9">
        <f t="shared" si="10"/>
        <v>-45742</v>
      </c>
      <c r="AU28" s="6">
        <f t="shared" si="11"/>
        <v>0</v>
      </c>
      <c r="AV28" s="238">
        <f t="shared" si="12"/>
        <v>27599734</v>
      </c>
    </row>
    <row r="29" spans="1:48" x14ac:dyDescent="0.25">
      <c r="A29" t="s">
        <v>92</v>
      </c>
      <c r="B29">
        <v>36505</v>
      </c>
      <c r="C29" s="6">
        <f>VLOOKUP(B29,'ER Contributions'!A:D,4,FALSE)</f>
        <v>2865200</v>
      </c>
      <c r="D29" s="7">
        <f>VLOOKUP(B29,'ER Contributions'!A:D,3,FALSE)</f>
        <v>1.7902E-3</v>
      </c>
      <c r="E29" s="9">
        <f>VLOOKUP(B29,'75 - Summary Exhibit'!A:N,3,FALSE)</f>
        <v>60889501</v>
      </c>
      <c r="F29" s="9">
        <f>VLOOKUP(B29,'75 - Summary Exhibit'!A:N,4,FALSE)</f>
        <v>496285</v>
      </c>
      <c r="G29" s="9">
        <f>VLOOKUP(B29,'75 - Summary Exhibit'!A:N,5,FALSE)</f>
        <v>260921</v>
      </c>
      <c r="H29" s="9">
        <f>VLOOKUP(B29,'75 - Summary Exhibit'!A:N,6,FALSE)</f>
        <v>14664678</v>
      </c>
      <c r="I29" s="6">
        <f>VLOOKUP(B29,'75 - Summary Exhibit'!A:N,7,FALSE)</f>
        <v>2563422</v>
      </c>
      <c r="J29" s="6">
        <f>VLOOKUP(B29,'75 - Summary Exhibit'!A:N,8,FALSE)</f>
        <v>0</v>
      </c>
      <c r="K29" s="6">
        <f>VLOOKUP(B29,'75 - Summary Exhibit'!A:N,9,FALSE)</f>
        <v>0</v>
      </c>
      <c r="L29" s="6">
        <f>VLOOKUP(B29,'75 - Summary Exhibit'!A:N,10,FALSE)</f>
        <v>7938748</v>
      </c>
      <c r="M29" s="6">
        <f>VLOOKUP(B29,'75 - Summary Exhibit'!A:N,11,FALSE)</f>
        <v>1650814</v>
      </c>
      <c r="N29" s="6">
        <f>VLOOKUP(B29,'75 - Summary Exhibit'!A:N,12,FALSE)</f>
        <v>1693473</v>
      </c>
      <c r="O29" s="6">
        <f>VLOOKUP(B29,'75 - Summary Exhibit'!A:N,13,FALSE)</f>
        <v>-301034</v>
      </c>
      <c r="P29" s="6">
        <f t="shared" si="0"/>
        <v>1392439</v>
      </c>
      <c r="Q29" s="6">
        <f>VLOOKUP(B29,'75- Deferred Amortization'!A:G,3,FALSE)</f>
        <v>-292716</v>
      </c>
      <c r="R29" s="6">
        <f>VLOOKUP(B29,'75- Deferred Amortization'!A:G,4,FALSE)</f>
        <v>1806732</v>
      </c>
      <c r="S29" s="6">
        <f>VLOOKUP(B29,'75- Deferred Amortization'!A:G,5,FALSE)</f>
        <v>4178863</v>
      </c>
      <c r="T29" s="6">
        <f>VLOOKUP(B29,'75- Deferred Amortization'!A:G,6,FALSE)</f>
        <v>2702866</v>
      </c>
      <c r="U29" s="6">
        <f>VLOOKUP(B29,'75- Deferred Amortization'!A:G,7,FALSE)</f>
        <v>0</v>
      </c>
      <c r="V29" s="6">
        <f t="shared" si="1"/>
        <v>0</v>
      </c>
      <c r="W29" s="6">
        <f t="shared" si="2"/>
        <v>-1</v>
      </c>
      <c r="X29">
        <v>2</v>
      </c>
      <c r="Z29" s="205">
        <f>VLOOKUP(B29,'Noncap Contr Alloc'!A:C,3,FALSE)</f>
        <v>18525</v>
      </c>
      <c r="AC29" s="9">
        <v>48599192</v>
      </c>
      <c r="AD29" s="9">
        <v>535172</v>
      </c>
      <c r="AE29" s="9">
        <v>388235</v>
      </c>
      <c r="AF29" s="9">
        <v>5264772</v>
      </c>
      <c r="AG29" s="6">
        <v>3509529</v>
      </c>
      <c r="AH29" s="6">
        <v>47617</v>
      </c>
      <c r="AI29" s="6">
        <v>0</v>
      </c>
      <c r="AJ29" s="6">
        <v>12965872</v>
      </c>
      <c r="AK29" s="6">
        <v>2070070</v>
      </c>
      <c r="AM29" s="6">
        <f t="shared" si="3"/>
        <v>-946107</v>
      </c>
      <c r="AN29" s="6">
        <f t="shared" si="4"/>
        <v>-419256</v>
      </c>
      <c r="AO29" s="9">
        <f t="shared" si="5"/>
        <v>-38887</v>
      </c>
      <c r="AP29" s="6">
        <f t="shared" si="6"/>
        <v>-47617</v>
      </c>
      <c r="AQ29" s="9">
        <f t="shared" si="7"/>
        <v>9399906</v>
      </c>
      <c r="AR29" s="6">
        <f t="shared" si="8"/>
        <v>-5027124</v>
      </c>
      <c r="AS29" s="9">
        <f t="shared" si="9"/>
        <v>12290309</v>
      </c>
      <c r="AT29" s="9">
        <f t="shared" si="10"/>
        <v>-127314</v>
      </c>
      <c r="AU29" s="6">
        <f t="shared" si="11"/>
        <v>0</v>
      </c>
      <c r="AV29" s="238">
        <f t="shared" si="12"/>
        <v>60889501</v>
      </c>
    </row>
    <row r="30" spans="1:48" x14ac:dyDescent="0.25">
      <c r="A30" t="s">
        <v>62</v>
      </c>
      <c r="B30">
        <v>31605</v>
      </c>
      <c r="C30" s="6">
        <f>VLOOKUP(B30,'ER Contributions'!A:D,4,FALSE)</f>
        <v>737660</v>
      </c>
      <c r="D30" s="7">
        <f>VLOOKUP(B30,'ER Contributions'!A:D,3,FALSE)</f>
        <v>4.3590000000000002E-4</v>
      </c>
      <c r="E30" s="9">
        <f>VLOOKUP(B30,'75 - Summary Exhibit'!A:N,3,FALSE)</f>
        <v>14827125</v>
      </c>
      <c r="F30" s="9">
        <f>VLOOKUP(B30,'75 - Summary Exhibit'!A:N,4,FALSE)</f>
        <v>120850</v>
      </c>
      <c r="G30" s="9">
        <f>VLOOKUP(B30,'75 - Summary Exhibit'!A:N,5,FALSE)</f>
        <v>63537</v>
      </c>
      <c r="H30" s="9">
        <f>VLOOKUP(B30,'75 - Summary Exhibit'!A:N,6,FALSE)</f>
        <v>3570977</v>
      </c>
      <c r="I30" s="6">
        <f>VLOOKUP(B30,'75 - Summary Exhibit'!A:N,7,FALSE)</f>
        <v>699629</v>
      </c>
      <c r="J30" s="6">
        <f>VLOOKUP(B30,'75 - Summary Exhibit'!A:N,8,FALSE)</f>
        <v>0</v>
      </c>
      <c r="K30" s="6">
        <f>VLOOKUP(B30,'75 - Summary Exhibit'!A:N,9,FALSE)</f>
        <v>0</v>
      </c>
      <c r="L30" s="6">
        <f>VLOOKUP(B30,'75 - Summary Exhibit'!A:N,10,FALSE)</f>
        <v>1933154</v>
      </c>
      <c r="M30" s="6">
        <f>VLOOKUP(B30,'75 - Summary Exhibit'!A:N,11,FALSE)</f>
        <v>0</v>
      </c>
      <c r="N30" s="6">
        <f>VLOOKUP(B30,'75 - Summary Exhibit'!A:N,12,FALSE)</f>
        <v>412377</v>
      </c>
      <c r="O30" s="6">
        <f>VLOOKUP(B30,'75 - Summary Exhibit'!A:N,13,FALSE)</f>
        <v>265643</v>
      </c>
      <c r="P30" s="6">
        <f t="shared" si="0"/>
        <v>678020</v>
      </c>
      <c r="Q30" s="6">
        <f>VLOOKUP(B30,'75- Deferred Amortization'!A:G,3,FALSE)</f>
        <v>207110</v>
      </c>
      <c r="R30" s="6">
        <f>VLOOKUP(B30,'75- Deferred Amortization'!A:G,4,FALSE)</f>
        <v>540937</v>
      </c>
      <c r="S30" s="6">
        <f>VLOOKUP(B30,'75- Deferred Amortization'!A:G,5,FALSE)</f>
        <v>1014278</v>
      </c>
      <c r="T30" s="6">
        <f>VLOOKUP(B30,'75- Deferred Amortization'!A:G,6,FALSE)</f>
        <v>759513</v>
      </c>
      <c r="U30" s="6">
        <f>VLOOKUP(B30,'75- Deferred Amortization'!A:G,7,FALSE)</f>
        <v>0</v>
      </c>
      <c r="V30" s="6">
        <f t="shared" si="1"/>
        <v>3</v>
      </c>
      <c r="W30" s="6">
        <f t="shared" si="2"/>
        <v>1</v>
      </c>
      <c r="X30">
        <v>2</v>
      </c>
      <c r="Z30" s="205">
        <f>VLOOKUP(B30,'Noncap Contr Alloc'!A:C,3,FALSE)</f>
        <v>4511</v>
      </c>
      <c r="AC30" s="9">
        <v>11425055</v>
      </c>
      <c r="AD30" s="9">
        <v>125812</v>
      </c>
      <c r="AE30" s="9">
        <v>91269</v>
      </c>
      <c r="AF30" s="9">
        <v>1237681</v>
      </c>
      <c r="AG30" s="6">
        <v>688574</v>
      </c>
      <c r="AH30" s="6">
        <v>11194</v>
      </c>
      <c r="AI30" s="6">
        <v>0</v>
      </c>
      <c r="AJ30" s="6">
        <v>3048112</v>
      </c>
      <c r="AK30" s="6">
        <v>28415</v>
      </c>
      <c r="AM30" s="6">
        <f t="shared" si="3"/>
        <v>11055</v>
      </c>
      <c r="AN30" s="6">
        <f t="shared" si="4"/>
        <v>-28415</v>
      </c>
      <c r="AO30" s="9">
        <f t="shared" si="5"/>
        <v>-4962</v>
      </c>
      <c r="AP30" s="6">
        <f t="shared" si="6"/>
        <v>-11194</v>
      </c>
      <c r="AQ30" s="9">
        <f t="shared" si="7"/>
        <v>2333296</v>
      </c>
      <c r="AR30" s="6">
        <f t="shared" si="8"/>
        <v>-1114958</v>
      </c>
      <c r="AS30" s="9">
        <f t="shared" si="9"/>
        <v>3402070</v>
      </c>
      <c r="AT30" s="9">
        <f t="shared" si="10"/>
        <v>-27732</v>
      </c>
      <c r="AU30" s="6">
        <f t="shared" si="11"/>
        <v>0</v>
      </c>
      <c r="AV30" s="238">
        <f t="shared" si="12"/>
        <v>14827125</v>
      </c>
    </row>
    <row r="31" spans="1:48" x14ac:dyDescent="0.25">
      <c r="A31" t="s">
        <v>63</v>
      </c>
      <c r="B31">
        <v>31805</v>
      </c>
      <c r="C31" s="6">
        <f>VLOOKUP(B31,'ER Contributions'!A:D,4,FALSE)</f>
        <v>1552185</v>
      </c>
      <c r="D31" s="7">
        <f>VLOOKUP(B31,'ER Contributions'!A:D,3,FALSE)</f>
        <v>1.0111E-3</v>
      </c>
      <c r="E31" s="9">
        <f>VLOOKUP(B31,'75 - Summary Exhibit'!A:N,3,FALSE)</f>
        <v>34390592</v>
      </c>
      <c r="F31" s="9">
        <f>VLOOKUP(B31,'75 - Summary Exhibit'!A:N,4,FALSE)</f>
        <v>280303</v>
      </c>
      <c r="G31" s="9">
        <f>VLOOKUP(B31,'75 - Summary Exhibit'!A:N,5,FALSE)</f>
        <v>147369</v>
      </c>
      <c r="H31" s="9">
        <f>VLOOKUP(B31,'75 - Summary Exhibit'!A:N,6,FALSE)</f>
        <v>8282659</v>
      </c>
      <c r="I31" s="6">
        <f>VLOOKUP(B31,'75 - Summary Exhibit'!A:N,7,FALSE)</f>
        <v>2046654</v>
      </c>
      <c r="J31" s="6">
        <f>VLOOKUP(B31,'75 - Summary Exhibit'!A:N,8,FALSE)</f>
        <v>0</v>
      </c>
      <c r="K31" s="6">
        <f>VLOOKUP(B31,'75 - Summary Exhibit'!A:N,9,FALSE)</f>
        <v>0</v>
      </c>
      <c r="L31" s="6">
        <f>VLOOKUP(B31,'75 - Summary Exhibit'!A:N,10,FALSE)</f>
        <v>4483831</v>
      </c>
      <c r="M31" s="6">
        <f>VLOOKUP(B31,'75 - Summary Exhibit'!A:N,11,FALSE)</f>
        <v>2790776</v>
      </c>
      <c r="N31" s="6">
        <f>VLOOKUP(B31,'75 - Summary Exhibit'!A:N,12,FALSE)</f>
        <v>956479</v>
      </c>
      <c r="O31" s="6">
        <f>VLOOKUP(B31,'75 - Summary Exhibit'!A:N,13,FALSE)</f>
        <v>298611</v>
      </c>
      <c r="P31" s="6">
        <f t="shared" si="0"/>
        <v>1255090</v>
      </c>
      <c r="Q31" s="6">
        <f>VLOOKUP(B31,'75- Deferred Amortization'!A:G,3,FALSE)</f>
        <v>8580</v>
      </c>
      <c r="R31" s="6">
        <f>VLOOKUP(B31,'75- Deferred Amortization'!A:G,4,FALSE)</f>
        <v>962971</v>
      </c>
      <c r="S31" s="6">
        <f>VLOOKUP(B31,'75- Deferred Amortization'!A:G,5,FALSE)</f>
        <v>1576292</v>
      </c>
      <c r="T31" s="6">
        <f>VLOOKUP(B31,'75- Deferred Amortization'!A:G,6,FALSE)</f>
        <v>934535</v>
      </c>
      <c r="U31" s="6">
        <f>VLOOKUP(B31,'75- Deferred Amortization'!A:G,7,FALSE)</f>
        <v>0</v>
      </c>
      <c r="V31" s="6">
        <f t="shared" si="1"/>
        <v>0</v>
      </c>
      <c r="W31" s="6">
        <f t="shared" si="2"/>
        <v>0</v>
      </c>
      <c r="X31">
        <v>2</v>
      </c>
      <c r="Z31" s="205">
        <f>VLOOKUP(B31,'Noncap Contr Alloc'!A:C,3,FALSE)</f>
        <v>10463</v>
      </c>
      <c r="AC31" s="9">
        <v>29986754</v>
      </c>
      <c r="AD31" s="9">
        <v>330213</v>
      </c>
      <c r="AE31" s="9">
        <v>239550</v>
      </c>
      <c r="AF31" s="9">
        <v>3248478</v>
      </c>
      <c r="AG31" s="6">
        <v>3064747</v>
      </c>
      <c r="AH31" s="6">
        <v>29381</v>
      </c>
      <c r="AI31" s="6">
        <v>0</v>
      </c>
      <c r="AJ31" s="6">
        <v>8000224</v>
      </c>
      <c r="AK31" s="6">
        <v>82401</v>
      </c>
      <c r="AM31" s="6">
        <f t="shared" si="3"/>
        <v>-1018093</v>
      </c>
      <c r="AN31" s="6">
        <f t="shared" si="4"/>
        <v>2708375</v>
      </c>
      <c r="AO31" s="9">
        <f t="shared" si="5"/>
        <v>-49910</v>
      </c>
      <c r="AP31" s="6">
        <f t="shared" si="6"/>
        <v>-29381</v>
      </c>
      <c r="AQ31" s="9">
        <f t="shared" si="7"/>
        <v>5034181</v>
      </c>
      <c r="AR31" s="6">
        <f t="shared" si="8"/>
        <v>-3516393</v>
      </c>
      <c r="AS31" s="9">
        <f t="shared" si="9"/>
        <v>4403838</v>
      </c>
      <c r="AT31" s="9">
        <f t="shared" si="10"/>
        <v>-92181</v>
      </c>
      <c r="AU31" s="6">
        <f t="shared" si="11"/>
        <v>0</v>
      </c>
      <c r="AV31" s="238">
        <f t="shared" si="12"/>
        <v>34390592</v>
      </c>
    </row>
    <row r="32" spans="1:48" x14ac:dyDescent="0.25">
      <c r="A32" t="s">
        <v>83</v>
      </c>
      <c r="B32">
        <v>35305</v>
      </c>
      <c r="C32" s="6">
        <f>VLOOKUP(B32,'ER Contributions'!A:D,4,FALSE)</f>
        <v>1865641</v>
      </c>
      <c r="D32" s="7">
        <f>VLOOKUP(B32,'ER Contributions'!A:D,3,FALSE)</f>
        <v>1.3519999999999999E-3</v>
      </c>
      <c r="E32" s="9">
        <f>VLOOKUP(B32,'75 - Summary Exhibit'!A:N,3,FALSE)</f>
        <v>45986508</v>
      </c>
      <c r="F32" s="9">
        <f>VLOOKUP(B32,'75 - Summary Exhibit'!A:N,4,FALSE)</f>
        <v>374817</v>
      </c>
      <c r="G32" s="9">
        <f>VLOOKUP(B32,'75 - Summary Exhibit'!A:N,5,FALSE)</f>
        <v>197060</v>
      </c>
      <c r="H32" s="9">
        <f>VLOOKUP(B32,'75 - Summary Exhibit'!A:N,6,FALSE)</f>
        <v>11075429</v>
      </c>
      <c r="I32" s="6">
        <f>VLOOKUP(B32,'75 - Summary Exhibit'!A:N,7,FALSE)</f>
        <v>2440204</v>
      </c>
      <c r="J32" s="6">
        <f>VLOOKUP(B32,'75 - Summary Exhibit'!A:N,8,FALSE)</f>
        <v>0</v>
      </c>
      <c r="K32" s="6">
        <f>VLOOKUP(B32,'75 - Summary Exhibit'!A:N,9,FALSE)</f>
        <v>0</v>
      </c>
      <c r="L32" s="6">
        <f>VLOOKUP(B32,'75 - Summary Exhibit'!A:N,10,FALSE)</f>
        <v>5995702</v>
      </c>
      <c r="M32" s="6">
        <f>VLOOKUP(B32,'75 - Summary Exhibit'!A:N,11,FALSE)</f>
        <v>1075827</v>
      </c>
      <c r="N32" s="6">
        <f>VLOOKUP(B32,'75 - Summary Exhibit'!A:N,12,FALSE)</f>
        <v>1278987</v>
      </c>
      <c r="O32" s="6">
        <f>VLOOKUP(B32,'75 - Summary Exhibit'!A:N,13,FALSE)</f>
        <v>590801</v>
      </c>
      <c r="P32" s="6">
        <f t="shared" si="0"/>
        <v>1869788</v>
      </c>
      <c r="Q32" s="6">
        <f>VLOOKUP(B32,'75- Deferred Amortization'!A:G,3,FALSE)</f>
        <v>391325</v>
      </c>
      <c r="R32" s="6">
        <f>VLOOKUP(B32,'75- Deferred Amortization'!A:G,4,FALSE)</f>
        <v>1801298</v>
      </c>
      <c r="S32" s="6">
        <f>VLOOKUP(B32,'75- Deferred Amortization'!A:G,5,FALSE)</f>
        <v>2886031</v>
      </c>
      <c r="T32" s="6">
        <f>VLOOKUP(B32,'75- Deferred Amortization'!A:G,6,FALSE)</f>
        <v>1937326</v>
      </c>
      <c r="U32" s="6">
        <f>VLOOKUP(B32,'75- Deferred Amortization'!A:G,7,FALSE)</f>
        <v>0</v>
      </c>
      <c r="V32" s="6">
        <f t="shared" si="1"/>
        <v>0</v>
      </c>
      <c r="W32" s="6">
        <f t="shared" si="2"/>
        <v>1</v>
      </c>
      <c r="X32">
        <v>2</v>
      </c>
      <c r="Z32" s="205">
        <f>VLOOKUP(B32,'Noncap Contr Alloc'!A:C,3,FALSE)</f>
        <v>13991</v>
      </c>
      <c r="AC32" s="9">
        <v>36898723</v>
      </c>
      <c r="AD32" s="9">
        <v>406327</v>
      </c>
      <c r="AE32" s="9">
        <v>294766</v>
      </c>
      <c r="AF32" s="9">
        <v>3997255</v>
      </c>
      <c r="AG32" s="6">
        <v>3489860</v>
      </c>
      <c r="AH32" s="6">
        <v>36153</v>
      </c>
      <c r="AI32" s="6">
        <v>0</v>
      </c>
      <c r="AJ32" s="6">
        <v>9844282</v>
      </c>
      <c r="AK32" s="6">
        <v>389421</v>
      </c>
      <c r="AM32" s="6">
        <f t="shared" si="3"/>
        <v>-1049656</v>
      </c>
      <c r="AN32" s="6">
        <f t="shared" si="4"/>
        <v>686406</v>
      </c>
      <c r="AO32" s="9">
        <f t="shared" si="5"/>
        <v>-31510</v>
      </c>
      <c r="AP32" s="6">
        <f t="shared" si="6"/>
        <v>-36153</v>
      </c>
      <c r="AQ32" s="9">
        <f t="shared" si="7"/>
        <v>7078174</v>
      </c>
      <c r="AR32" s="6">
        <f t="shared" si="8"/>
        <v>-3848580</v>
      </c>
      <c r="AS32" s="9">
        <f t="shared" si="9"/>
        <v>9087785</v>
      </c>
      <c r="AT32" s="9">
        <f t="shared" si="10"/>
        <v>-97706</v>
      </c>
      <c r="AU32" s="6">
        <f t="shared" si="11"/>
        <v>0</v>
      </c>
      <c r="AV32" s="238">
        <f t="shared" si="12"/>
        <v>45986508</v>
      </c>
    </row>
    <row r="33" spans="1:48" x14ac:dyDescent="0.25">
      <c r="A33" t="s">
        <v>87</v>
      </c>
      <c r="B33">
        <v>36005</v>
      </c>
      <c r="C33" s="6">
        <f>VLOOKUP(B33,'ER Contributions'!A:D,4,FALSE)</f>
        <v>5637830</v>
      </c>
      <c r="D33" s="7">
        <f>VLOOKUP(B33,'ER Contributions'!A:D,3,FALSE)</f>
        <v>3.6925999999999999E-3</v>
      </c>
      <c r="E33" s="9">
        <f>VLOOKUP(B33,'75 - Summary Exhibit'!A:N,3,FALSE)</f>
        <v>125595957</v>
      </c>
      <c r="F33" s="9">
        <f>VLOOKUP(B33,'75 - Summary Exhibit'!A:N,4,FALSE)</f>
        <v>1023680</v>
      </c>
      <c r="G33" s="9">
        <f>VLOOKUP(B33,'75 - Summary Exhibit'!A:N,5,FALSE)</f>
        <v>538199</v>
      </c>
      <c r="H33" s="9">
        <f>VLOOKUP(B33,'75 - Summary Exhibit'!A:N,6,FALSE)</f>
        <v>30248635</v>
      </c>
      <c r="I33" s="6">
        <f>VLOOKUP(B33,'75 - Summary Exhibit'!A:N,7,FALSE)</f>
        <v>687828</v>
      </c>
      <c r="J33" s="6">
        <f>VLOOKUP(B33,'75 - Summary Exhibit'!A:N,8,FALSE)</f>
        <v>0</v>
      </c>
      <c r="K33" s="6">
        <f>VLOOKUP(B33,'75 - Summary Exhibit'!A:N,9,FALSE)</f>
        <v>0</v>
      </c>
      <c r="L33" s="6">
        <f>VLOOKUP(B33,'75 - Summary Exhibit'!A:N,10,FALSE)</f>
        <v>16375148</v>
      </c>
      <c r="M33" s="6">
        <f>VLOOKUP(B33,'75 - Summary Exhibit'!A:N,11,FALSE)</f>
        <v>5907612</v>
      </c>
      <c r="N33" s="6">
        <f>VLOOKUP(B33,'75 - Summary Exhibit'!A:N,12,FALSE)</f>
        <v>3493101</v>
      </c>
      <c r="O33" s="6">
        <f>VLOOKUP(B33,'75 - Summary Exhibit'!A:N,13,FALSE)</f>
        <v>-4423977</v>
      </c>
      <c r="P33" s="6">
        <f t="shared" si="0"/>
        <v>-930876</v>
      </c>
      <c r="Q33" s="6">
        <f>VLOOKUP(B33,'75- Deferred Amortization'!A:G,3,FALSE)</f>
        <v>-3856224</v>
      </c>
      <c r="R33" s="6">
        <f>VLOOKUP(B33,'75- Deferred Amortization'!A:G,4,FALSE)</f>
        <v>768701</v>
      </c>
      <c r="S33" s="6">
        <f>VLOOKUP(B33,'75- Deferred Amortization'!A:G,5,FALSE)</f>
        <v>7214449</v>
      </c>
      <c r="T33" s="6">
        <f>VLOOKUP(B33,'75- Deferred Amortization'!A:G,6,FALSE)</f>
        <v>6088656</v>
      </c>
      <c r="U33" s="6">
        <f>VLOOKUP(B33,'75- Deferred Amortization'!A:G,7,FALSE)</f>
        <v>0</v>
      </c>
      <c r="V33" s="6">
        <f t="shared" si="1"/>
        <v>-2</v>
      </c>
      <c r="W33" s="6">
        <f t="shared" si="2"/>
        <v>0</v>
      </c>
      <c r="X33">
        <v>2</v>
      </c>
      <c r="Z33" s="205">
        <f>VLOOKUP(B33,'Noncap Contr Alloc'!A:C,3,FALSE)</f>
        <v>38211</v>
      </c>
      <c r="AC33" s="9">
        <v>97754959</v>
      </c>
      <c r="AD33" s="9">
        <v>1076473</v>
      </c>
      <c r="AE33" s="9">
        <v>780917</v>
      </c>
      <c r="AF33" s="9">
        <v>10589838</v>
      </c>
      <c r="AG33" s="6">
        <v>0</v>
      </c>
      <c r="AH33" s="6">
        <v>95780</v>
      </c>
      <c r="AI33" s="6">
        <v>0</v>
      </c>
      <c r="AJ33" s="6">
        <v>26080234</v>
      </c>
      <c r="AK33" s="6">
        <v>10503545</v>
      </c>
      <c r="AM33" s="6">
        <f t="shared" si="3"/>
        <v>687828</v>
      </c>
      <c r="AN33" s="6">
        <f t="shared" si="4"/>
        <v>-4595933</v>
      </c>
      <c r="AO33" s="9">
        <f t="shared" si="5"/>
        <v>-52793</v>
      </c>
      <c r="AP33" s="6">
        <f t="shared" si="6"/>
        <v>-95780</v>
      </c>
      <c r="AQ33" s="9">
        <f t="shared" si="7"/>
        <v>19658797</v>
      </c>
      <c r="AR33" s="6">
        <f t="shared" si="8"/>
        <v>-9705086</v>
      </c>
      <c r="AS33" s="9">
        <f t="shared" si="9"/>
        <v>27840998</v>
      </c>
      <c r="AT33" s="9">
        <f t="shared" si="10"/>
        <v>-242718</v>
      </c>
      <c r="AU33" s="6">
        <f t="shared" si="11"/>
        <v>0</v>
      </c>
      <c r="AV33" s="238">
        <f t="shared" si="12"/>
        <v>125595957</v>
      </c>
    </row>
    <row r="34" spans="1:48" x14ac:dyDescent="0.25">
      <c r="A34" t="s">
        <v>65</v>
      </c>
      <c r="B34">
        <v>32305</v>
      </c>
      <c r="C34" s="6">
        <f>VLOOKUP(B34,'ER Contributions'!A:D,4,FALSE)</f>
        <v>919293</v>
      </c>
      <c r="D34" s="7">
        <f>VLOOKUP(B34,'ER Contributions'!A:D,3,FALSE)</f>
        <v>6.202E-4</v>
      </c>
      <c r="E34" s="9">
        <f>VLOOKUP(B34,'75 - Summary Exhibit'!A:N,3,FALSE)</f>
        <v>21095850</v>
      </c>
      <c r="F34" s="9">
        <f>VLOOKUP(B34,'75 - Summary Exhibit'!A:N,4,FALSE)</f>
        <v>171943</v>
      </c>
      <c r="G34" s="9">
        <f>VLOOKUP(B34,'75 - Summary Exhibit'!A:N,5,FALSE)</f>
        <v>90399</v>
      </c>
      <c r="H34" s="9">
        <f>VLOOKUP(B34,'75 - Summary Exhibit'!A:N,6,FALSE)</f>
        <v>5080742</v>
      </c>
      <c r="I34" s="6">
        <f>VLOOKUP(B34,'75 - Summary Exhibit'!A:N,7,FALSE)</f>
        <v>2167049</v>
      </c>
      <c r="J34" s="6">
        <f>VLOOKUP(B34,'75 - Summary Exhibit'!A:N,8,FALSE)</f>
        <v>0</v>
      </c>
      <c r="K34" s="6">
        <f>VLOOKUP(B34,'75 - Summary Exhibit'!A:N,9,FALSE)</f>
        <v>0</v>
      </c>
      <c r="L34" s="6">
        <f>VLOOKUP(B34,'75 - Summary Exhibit'!A:N,10,FALSE)</f>
        <v>2750468</v>
      </c>
      <c r="M34" s="6">
        <f>VLOOKUP(B34,'75 - Summary Exhibit'!A:N,11,FALSE)</f>
        <v>236613</v>
      </c>
      <c r="N34" s="6">
        <f>VLOOKUP(B34,'75 - Summary Exhibit'!A:N,12,FALSE)</f>
        <v>586724</v>
      </c>
      <c r="O34" s="6">
        <f>VLOOKUP(B34,'75 - Summary Exhibit'!A:N,13,FALSE)</f>
        <v>670893</v>
      </c>
      <c r="P34" s="6">
        <f t="shared" si="0"/>
        <v>1257617</v>
      </c>
      <c r="Q34" s="6">
        <f>VLOOKUP(B34,'75- Deferred Amortization'!A:G,3,FALSE)</f>
        <v>400407</v>
      </c>
      <c r="R34" s="6">
        <f>VLOOKUP(B34,'75- Deferred Amortization'!A:G,4,FALSE)</f>
        <v>1171394</v>
      </c>
      <c r="S34" s="6">
        <f>VLOOKUP(B34,'75- Deferred Amortization'!A:G,5,FALSE)</f>
        <v>1833687</v>
      </c>
      <c r="T34" s="6">
        <f>VLOOKUP(B34,'75- Deferred Amortization'!A:G,6,FALSE)</f>
        <v>1117564</v>
      </c>
      <c r="U34" s="6">
        <f>VLOOKUP(B34,'75- Deferred Amortization'!A:G,7,FALSE)</f>
        <v>0</v>
      </c>
      <c r="V34" s="6">
        <f t="shared" si="1"/>
        <v>1</v>
      </c>
      <c r="W34" s="6">
        <f t="shared" si="2"/>
        <v>0</v>
      </c>
      <c r="X34">
        <v>2</v>
      </c>
      <c r="Z34" s="205">
        <f>VLOOKUP(B34,'Noncap Contr Alloc'!A:C,3,FALSE)</f>
        <v>6418</v>
      </c>
      <c r="AC34" s="9">
        <v>15979281</v>
      </c>
      <c r="AD34" s="9">
        <v>175963</v>
      </c>
      <c r="AE34" s="9">
        <v>127651</v>
      </c>
      <c r="AF34" s="9">
        <v>1731043</v>
      </c>
      <c r="AG34" s="6">
        <v>2436149</v>
      </c>
      <c r="AH34" s="6">
        <v>15656</v>
      </c>
      <c r="AI34" s="6">
        <v>0</v>
      </c>
      <c r="AJ34" s="6">
        <v>4263143</v>
      </c>
      <c r="AK34" s="6">
        <v>453619</v>
      </c>
      <c r="AM34" s="6">
        <f t="shared" si="3"/>
        <v>-269100</v>
      </c>
      <c r="AN34" s="6">
        <f t="shared" si="4"/>
        <v>-217006</v>
      </c>
      <c r="AO34" s="9">
        <f t="shared" si="5"/>
        <v>-4020</v>
      </c>
      <c r="AP34" s="6">
        <f t="shared" si="6"/>
        <v>-15656</v>
      </c>
      <c r="AQ34" s="9">
        <f t="shared" si="7"/>
        <v>3349699</v>
      </c>
      <c r="AR34" s="6">
        <f t="shared" si="8"/>
        <v>-1512675</v>
      </c>
      <c r="AS34" s="9">
        <f t="shared" si="9"/>
        <v>5116569</v>
      </c>
      <c r="AT34" s="9">
        <f t="shared" si="10"/>
        <v>-37252</v>
      </c>
      <c r="AU34" s="6">
        <f t="shared" si="11"/>
        <v>0</v>
      </c>
      <c r="AV34" s="238">
        <f t="shared" si="12"/>
        <v>21095850</v>
      </c>
    </row>
    <row r="35" spans="1:48" x14ac:dyDescent="0.25">
      <c r="A35" t="s">
        <v>93</v>
      </c>
      <c r="B35">
        <v>36705</v>
      </c>
      <c r="C35" s="6">
        <f>VLOOKUP(B35,'ER Contributions'!A:D,4,FALSE)</f>
        <v>1205384</v>
      </c>
      <c r="D35" s="7">
        <f>VLOOKUP(B35,'ER Contributions'!A:D,3,FALSE)</f>
        <v>7.6400000000000003E-4</v>
      </c>
      <c r="E35" s="9">
        <f>VLOOKUP(B35,'75 - Summary Exhibit'!A:N,3,FALSE)</f>
        <v>25984625</v>
      </c>
      <c r="F35" s="9">
        <f>VLOOKUP(B35,'75 - Summary Exhibit'!A:N,4,FALSE)</f>
        <v>211790</v>
      </c>
      <c r="G35" s="9">
        <f>VLOOKUP(B35,'75 - Summary Exhibit'!A:N,5,FALSE)</f>
        <v>111348</v>
      </c>
      <c r="H35" s="9">
        <f>VLOOKUP(B35,'75 - Summary Exhibit'!A:N,6,FALSE)</f>
        <v>6258159</v>
      </c>
      <c r="I35" s="6">
        <f>VLOOKUP(B35,'75 - Summary Exhibit'!A:N,7,FALSE)</f>
        <v>1079982</v>
      </c>
      <c r="J35" s="6">
        <f>VLOOKUP(B35,'75 - Summary Exhibit'!A:N,8,FALSE)</f>
        <v>0</v>
      </c>
      <c r="K35" s="6">
        <f>VLOOKUP(B35,'75 - Summary Exhibit'!A:N,9,FALSE)</f>
        <v>0</v>
      </c>
      <c r="L35" s="6">
        <f>VLOOKUP(B35,'75 - Summary Exhibit'!A:N,10,FALSE)</f>
        <v>3387865</v>
      </c>
      <c r="M35" s="6">
        <f>VLOOKUP(B35,'75 - Summary Exhibit'!A:N,11,FALSE)</f>
        <v>4178256</v>
      </c>
      <c r="N35" s="6">
        <f>VLOOKUP(B35,'75 - Summary Exhibit'!A:N,12,FALSE)</f>
        <v>722689</v>
      </c>
      <c r="O35" s="6">
        <f>VLOOKUP(B35,'75 - Summary Exhibit'!A:N,13,FALSE)</f>
        <v>-1314912</v>
      </c>
      <c r="P35" s="6">
        <f t="shared" ref="P35:P66" si="13">N35+O35</f>
        <v>-592223</v>
      </c>
      <c r="Q35" s="6">
        <f>VLOOKUP(B35,'75- Deferred Amortization'!A:G,3,FALSE)</f>
        <v>-1265453</v>
      </c>
      <c r="R35" s="6">
        <f>VLOOKUP(B35,'75- Deferred Amortization'!A:G,4,FALSE)</f>
        <v>-287730</v>
      </c>
      <c r="S35" s="6">
        <f>VLOOKUP(B35,'75- Deferred Amortization'!A:G,5,FALSE)</f>
        <v>545287</v>
      </c>
      <c r="T35" s="6">
        <f>VLOOKUP(B35,'75- Deferred Amortization'!A:G,6,FALSE)</f>
        <v>1103054</v>
      </c>
      <c r="U35" s="6">
        <f>VLOOKUP(B35,'75- Deferred Amortization'!A:G,7,FALSE)</f>
        <v>0</v>
      </c>
      <c r="V35" s="6">
        <f t="shared" si="1"/>
        <v>-1</v>
      </c>
      <c r="W35" s="6">
        <f t="shared" si="2"/>
        <v>0</v>
      </c>
      <c r="X35">
        <v>2</v>
      </c>
      <c r="Z35" s="205">
        <f>VLOOKUP(B35,'Noncap Contr Alloc'!A:C,3,FALSE)</f>
        <v>7906</v>
      </c>
      <c r="AC35" s="9">
        <v>20945474</v>
      </c>
      <c r="AD35" s="9">
        <v>230651</v>
      </c>
      <c r="AE35" s="9">
        <v>167323</v>
      </c>
      <c r="AF35" s="9">
        <v>2269032</v>
      </c>
      <c r="AG35" s="6">
        <v>1619973</v>
      </c>
      <c r="AH35" s="6">
        <v>20522</v>
      </c>
      <c r="AI35" s="6">
        <v>0</v>
      </c>
      <c r="AJ35" s="6">
        <v>5588083</v>
      </c>
      <c r="AK35" s="6">
        <v>5427879</v>
      </c>
      <c r="AM35" s="6">
        <f t="shared" si="3"/>
        <v>-539991</v>
      </c>
      <c r="AN35" s="6">
        <f t="shared" si="4"/>
        <v>-1249623</v>
      </c>
      <c r="AO35" s="9">
        <f t="shared" si="5"/>
        <v>-18861</v>
      </c>
      <c r="AP35" s="6">
        <f t="shared" si="6"/>
        <v>-20522</v>
      </c>
      <c r="AQ35" s="9">
        <f t="shared" si="7"/>
        <v>3989127</v>
      </c>
      <c r="AR35" s="6">
        <f t="shared" si="8"/>
        <v>-2200218</v>
      </c>
      <c r="AS35" s="9">
        <f t="shared" si="9"/>
        <v>5039151</v>
      </c>
      <c r="AT35" s="9">
        <f t="shared" si="10"/>
        <v>-55975</v>
      </c>
      <c r="AU35" s="6">
        <f t="shared" si="11"/>
        <v>0</v>
      </c>
      <c r="AV35" s="238">
        <f t="shared" si="12"/>
        <v>25984625</v>
      </c>
    </row>
    <row r="36" spans="1:48" x14ac:dyDescent="0.25">
      <c r="A36" t="s">
        <v>95</v>
      </c>
      <c r="B36">
        <v>37005</v>
      </c>
      <c r="C36" s="6">
        <f>VLOOKUP(B36,'ER Contributions'!A:D,4,FALSE)</f>
        <v>819278</v>
      </c>
      <c r="D36" s="7">
        <f>VLOOKUP(B36,'ER Contributions'!A:D,3,FALSE)</f>
        <v>5.0210000000000001E-4</v>
      </c>
      <c r="E36" s="9">
        <f>VLOOKUP(B36,'75 - Summary Exhibit'!A:N,3,FALSE)</f>
        <v>17078480</v>
      </c>
      <c r="F36" s="9">
        <f>VLOOKUP(B36,'75 - Summary Exhibit'!A:N,4,FALSE)</f>
        <v>139200</v>
      </c>
      <c r="G36" s="9">
        <f>VLOOKUP(B36,'75 - Summary Exhibit'!A:N,5,FALSE)</f>
        <v>73184</v>
      </c>
      <c r="H36" s="9">
        <f>VLOOKUP(B36,'75 - Summary Exhibit'!A:N,6,FALSE)</f>
        <v>4113195</v>
      </c>
      <c r="I36" s="6">
        <f>VLOOKUP(B36,'75 - Summary Exhibit'!A:N,7,FALSE)</f>
        <v>1183052</v>
      </c>
      <c r="J36" s="6">
        <f>VLOOKUP(B36,'75 - Summary Exhibit'!A:N,8,FALSE)</f>
        <v>0</v>
      </c>
      <c r="K36" s="6">
        <f>VLOOKUP(B36,'75 - Summary Exhibit'!A:N,9,FALSE)</f>
        <v>0</v>
      </c>
      <c r="L36" s="6">
        <f>VLOOKUP(B36,'75 - Summary Exhibit'!A:N,10,FALSE)</f>
        <v>2226685</v>
      </c>
      <c r="M36" s="6">
        <f>VLOOKUP(B36,'75 - Summary Exhibit'!A:N,11,FALSE)</f>
        <v>0</v>
      </c>
      <c r="N36" s="6">
        <f>VLOOKUP(B36,'75 - Summary Exhibit'!A:N,12,FALSE)</f>
        <v>474991</v>
      </c>
      <c r="O36" s="6">
        <f>VLOOKUP(B36,'75 - Summary Exhibit'!A:N,13,FALSE)</f>
        <v>444068</v>
      </c>
      <c r="P36" s="6">
        <f t="shared" si="13"/>
        <v>919059</v>
      </c>
      <c r="Q36" s="6">
        <f>VLOOKUP(B36,'75- Deferred Amortization'!A:G,3,FALSE)</f>
        <v>456686</v>
      </c>
      <c r="R36" s="6">
        <f>VLOOKUP(B36,'75- Deferred Amortization'!A:G,4,FALSE)</f>
        <v>798436</v>
      </c>
      <c r="S36" s="6">
        <f>VLOOKUP(B36,'75- Deferred Amortization'!A:G,5,FALSE)</f>
        <v>1171326</v>
      </c>
      <c r="T36" s="6">
        <f>VLOOKUP(B36,'75- Deferred Amortization'!A:G,6,FALSE)</f>
        <v>855498</v>
      </c>
      <c r="U36" s="6">
        <f>VLOOKUP(B36,'75- Deferred Amortization'!A:G,7,FALSE)</f>
        <v>0</v>
      </c>
      <c r="V36" s="6">
        <f t="shared" ref="V36:V67" si="14">ROUND(((F36-AD36)+(G36-AE36)+(H36-AF36)+(I36-AG36)+(AI36-K36)+P36-(E36-AC36)-(J36-AH36)-(L36-AJ36)-(M36-AK36)-C36),0)-Z36</f>
        <v>0</v>
      </c>
      <c r="W36" s="6">
        <f t="shared" ref="W36:W67" si="15">ROUND((F36+G36+H36+I36-J36-K36-L36-M36-Q36-R36-S36-T36-U36),0)</f>
        <v>0</v>
      </c>
      <c r="X36">
        <v>2</v>
      </c>
      <c r="Z36" s="205">
        <f>VLOOKUP(B36,'Noncap Contr Alloc'!A:C,3,FALSE)</f>
        <v>5196</v>
      </c>
      <c r="AC36" s="9">
        <v>13217981</v>
      </c>
      <c r="AD36" s="9">
        <v>145556</v>
      </c>
      <c r="AE36" s="9">
        <v>105592</v>
      </c>
      <c r="AF36" s="9">
        <v>1431910</v>
      </c>
      <c r="AG36" s="6">
        <v>1485144</v>
      </c>
      <c r="AH36" s="6">
        <v>12951</v>
      </c>
      <c r="AI36" s="6">
        <v>0</v>
      </c>
      <c r="AJ36" s="6">
        <v>3526451</v>
      </c>
      <c r="AK36" s="6">
        <v>112768</v>
      </c>
      <c r="AM36" s="6">
        <f t="shared" ref="AM36:AM67" si="16">I36-AG36</f>
        <v>-302092</v>
      </c>
      <c r="AN36" s="6">
        <f t="shared" ref="AN36:AN67" si="17">M36-AK36</f>
        <v>-112768</v>
      </c>
      <c r="AO36" s="9">
        <f t="shared" ref="AO36:AO67" si="18">F36-AD36</f>
        <v>-6356</v>
      </c>
      <c r="AP36" s="6">
        <f t="shared" ref="AP36:AP67" si="19">J36-AH36</f>
        <v>-12951</v>
      </c>
      <c r="AQ36" s="9">
        <f t="shared" ref="AQ36:AQ67" si="20">H36-AF36</f>
        <v>2681285</v>
      </c>
      <c r="AR36" s="6">
        <f t="shared" ref="AR36:AR67" si="21">L36-AJ36</f>
        <v>-1299766</v>
      </c>
      <c r="AS36" s="9">
        <f t="shared" ref="AS36:AS67" si="22">E36-AC36</f>
        <v>3860499</v>
      </c>
      <c r="AT36" s="9">
        <f t="shared" ref="AT36:AT67" si="23">G36-AE36</f>
        <v>-32408</v>
      </c>
      <c r="AU36" s="6">
        <f t="shared" ref="AU36:AU67" si="24">K36-AI36</f>
        <v>0</v>
      </c>
      <c r="AV36" s="238">
        <f t="shared" si="12"/>
        <v>17078480</v>
      </c>
    </row>
    <row r="37" spans="1:48" x14ac:dyDescent="0.25">
      <c r="A37" t="s">
        <v>67</v>
      </c>
      <c r="B37">
        <v>32505</v>
      </c>
      <c r="C37" s="6">
        <f>VLOOKUP(B37,'ER Contributions'!A:D,4,FALSE)</f>
        <v>1070793</v>
      </c>
      <c r="D37" s="7">
        <f>VLOOKUP(B37,'ER Contributions'!A:D,3,FALSE)</f>
        <v>6.6649999999999999E-4</v>
      </c>
      <c r="E37" s="9">
        <f>VLOOKUP(B37,'75 - Summary Exhibit'!A:N,3,FALSE)</f>
        <v>22670102</v>
      </c>
      <c r="F37" s="9">
        <f>VLOOKUP(B37,'75 - Summary Exhibit'!A:N,4,FALSE)</f>
        <v>184775</v>
      </c>
      <c r="G37" s="9">
        <f>VLOOKUP(B37,'75 - Summary Exhibit'!A:N,5,FALSE)</f>
        <v>97145</v>
      </c>
      <c r="H37" s="9">
        <f>VLOOKUP(B37,'75 - Summary Exhibit'!A:N,6,FALSE)</f>
        <v>5459886</v>
      </c>
      <c r="I37" s="6">
        <f>VLOOKUP(B37,'75 - Summary Exhibit'!A:N,7,FALSE)</f>
        <v>1232290</v>
      </c>
      <c r="J37" s="6">
        <f>VLOOKUP(B37,'75 - Summary Exhibit'!A:N,8,FALSE)</f>
        <v>0</v>
      </c>
      <c r="K37" s="6">
        <f>VLOOKUP(B37,'75 - Summary Exhibit'!A:N,9,FALSE)</f>
        <v>0</v>
      </c>
      <c r="L37" s="6">
        <f>VLOOKUP(B37,'75 - Summary Exhibit'!A:N,10,FALSE)</f>
        <v>2955718</v>
      </c>
      <c r="M37" s="6">
        <f>VLOOKUP(B37,'75 - Summary Exhibit'!A:N,11,FALSE)</f>
        <v>80695</v>
      </c>
      <c r="N37" s="6">
        <f>VLOOKUP(B37,'75 - Summary Exhibit'!A:N,12,FALSE)</f>
        <v>630505</v>
      </c>
      <c r="O37" s="6">
        <f>VLOOKUP(B37,'75 - Summary Exhibit'!A:N,13,FALSE)</f>
        <v>2205</v>
      </c>
      <c r="P37" s="6">
        <f t="shared" si="13"/>
        <v>632710</v>
      </c>
      <c r="Q37" s="6">
        <f>VLOOKUP(B37,'75- Deferred Amortization'!A:G,3,FALSE)</f>
        <v>245894</v>
      </c>
      <c r="R37" s="6">
        <f>VLOOKUP(B37,'75- Deferred Amortization'!A:G,4,FALSE)</f>
        <v>942980</v>
      </c>
      <c r="S37" s="6">
        <f>VLOOKUP(B37,'75- Deferred Amortization'!A:G,5,FALSE)</f>
        <v>1545683</v>
      </c>
      <c r="T37" s="6">
        <f>VLOOKUP(B37,'75- Deferred Amortization'!A:G,6,FALSE)</f>
        <v>1203126</v>
      </c>
      <c r="U37" s="6">
        <f>VLOOKUP(B37,'75- Deferred Amortization'!A:G,7,FALSE)</f>
        <v>0</v>
      </c>
      <c r="V37" s="6">
        <f t="shared" si="14"/>
        <v>-1</v>
      </c>
      <c r="W37" s="6">
        <f t="shared" si="15"/>
        <v>0</v>
      </c>
      <c r="X37">
        <v>2</v>
      </c>
      <c r="Z37" s="205">
        <f>VLOOKUP(B37,'Noncap Contr Alloc'!A:C,3,FALSE)</f>
        <v>6897</v>
      </c>
      <c r="AC37" s="9">
        <v>17234913</v>
      </c>
      <c r="AD37" s="9">
        <v>189790</v>
      </c>
      <c r="AE37" s="9">
        <v>137681</v>
      </c>
      <c r="AF37" s="9">
        <v>1867066</v>
      </c>
      <c r="AG37" s="6">
        <v>1016014</v>
      </c>
      <c r="AH37" s="6">
        <v>16887</v>
      </c>
      <c r="AI37" s="6">
        <v>0</v>
      </c>
      <c r="AJ37" s="6">
        <v>4598136</v>
      </c>
      <c r="AK37" s="6">
        <v>538013</v>
      </c>
      <c r="AM37" s="6">
        <f t="shared" si="16"/>
        <v>216276</v>
      </c>
      <c r="AN37" s="6">
        <f t="shared" si="17"/>
        <v>-457318</v>
      </c>
      <c r="AO37" s="9">
        <f t="shared" si="18"/>
        <v>-5015</v>
      </c>
      <c r="AP37" s="6">
        <f t="shared" si="19"/>
        <v>-16887</v>
      </c>
      <c r="AQ37" s="9">
        <f t="shared" si="20"/>
        <v>3592820</v>
      </c>
      <c r="AR37" s="6">
        <f t="shared" si="21"/>
        <v>-1642418</v>
      </c>
      <c r="AS37" s="9">
        <f t="shared" si="22"/>
        <v>5435189</v>
      </c>
      <c r="AT37" s="9">
        <f t="shared" si="23"/>
        <v>-40536</v>
      </c>
      <c r="AU37" s="6">
        <f t="shared" si="24"/>
        <v>0</v>
      </c>
      <c r="AV37" s="238">
        <f t="shared" si="12"/>
        <v>22670102</v>
      </c>
    </row>
    <row r="38" spans="1:48" x14ac:dyDescent="0.25">
      <c r="A38" t="s">
        <v>69</v>
      </c>
      <c r="B38">
        <v>32905</v>
      </c>
      <c r="C38" s="6">
        <f>VLOOKUP(B38,'ER Contributions'!A:D,4,FALSE)</f>
        <v>1219735</v>
      </c>
      <c r="D38" s="7">
        <f>VLOOKUP(B38,'ER Contributions'!A:D,3,FALSE)</f>
        <v>7.8720000000000005E-4</v>
      </c>
      <c r="E38" s="9">
        <f>VLOOKUP(B38,'75 - Summary Exhibit'!A:N,3,FALSE)</f>
        <v>26775704</v>
      </c>
      <c r="F38" s="9">
        <f>VLOOKUP(B38,'75 - Summary Exhibit'!A:N,4,FALSE)</f>
        <v>218238</v>
      </c>
      <c r="G38" s="9">
        <f>VLOOKUP(B38,'75 - Summary Exhibit'!A:N,5,FALSE)</f>
        <v>114738</v>
      </c>
      <c r="H38" s="9">
        <f>VLOOKUP(B38,'75 - Summary Exhibit'!A:N,6,FALSE)</f>
        <v>6448683</v>
      </c>
      <c r="I38" s="6">
        <f>VLOOKUP(B38,'75 - Summary Exhibit'!A:N,7,FALSE)</f>
        <v>845065</v>
      </c>
      <c r="J38" s="6">
        <f>VLOOKUP(B38,'75 - Summary Exhibit'!A:N,8,FALSE)</f>
        <v>0</v>
      </c>
      <c r="K38" s="6">
        <f>VLOOKUP(B38,'75 - Summary Exhibit'!A:N,9,FALSE)</f>
        <v>0</v>
      </c>
      <c r="L38" s="6">
        <f>VLOOKUP(B38,'75 - Summary Exhibit'!A:N,10,FALSE)</f>
        <v>3491005</v>
      </c>
      <c r="M38" s="6">
        <f>VLOOKUP(B38,'75 - Summary Exhibit'!A:N,11,FALSE)</f>
        <v>0</v>
      </c>
      <c r="N38" s="6">
        <f>VLOOKUP(B38,'75 - Summary Exhibit'!A:N,12,FALSE)</f>
        <v>744693</v>
      </c>
      <c r="O38" s="6">
        <f>VLOOKUP(B38,'75 - Summary Exhibit'!A:N,13,FALSE)</f>
        <v>-77214</v>
      </c>
      <c r="P38" s="6">
        <f t="shared" si="13"/>
        <v>667479</v>
      </c>
      <c r="Q38" s="6">
        <f>VLOOKUP(B38,'75- Deferred Amortization'!A:G,3,FALSE)</f>
        <v>177024</v>
      </c>
      <c r="R38" s="6">
        <f>VLOOKUP(B38,'75- Deferred Amortization'!A:G,4,FALSE)</f>
        <v>888409</v>
      </c>
      <c r="S38" s="6">
        <f>VLOOKUP(B38,'75- Deferred Amortization'!A:G,5,FALSE)</f>
        <v>1729982</v>
      </c>
      <c r="T38" s="6">
        <f>VLOOKUP(B38,'75- Deferred Amortization'!A:G,6,FALSE)</f>
        <v>1340303</v>
      </c>
      <c r="U38" s="6">
        <f>VLOOKUP(B38,'75- Deferred Amortization'!A:G,7,FALSE)</f>
        <v>0</v>
      </c>
      <c r="V38" s="6">
        <f t="shared" si="14"/>
        <v>2</v>
      </c>
      <c r="W38" s="6">
        <f t="shared" si="15"/>
        <v>1</v>
      </c>
      <c r="X38">
        <v>2</v>
      </c>
      <c r="Z38" s="205">
        <f>VLOOKUP(B38,'Noncap Contr Alloc'!A:C,3,FALSE)</f>
        <v>8146</v>
      </c>
      <c r="AC38" s="9">
        <v>20670606</v>
      </c>
      <c r="AD38" s="9">
        <v>227624</v>
      </c>
      <c r="AE38" s="9">
        <v>165127</v>
      </c>
      <c r="AF38" s="9">
        <v>2239256</v>
      </c>
      <c r="AG38" s="6">
        <v>784464</v>
      </c>
      <c r="AH38" s="6">
        <v>20253</v>
      </c>
      <c r="AI38" s="6">
        <v>0</v>
      </c>
      <c r="AJ38" s="6">
        <v>5514751</v>
      </c>
      <c r="AK38" s="6">
        <v>411250</v>
      </c>
      <c r="AM38" s="6">
        <f t="shared" si="16"/>
        <v>60601</v>
      </c>
      <c r="AN38" s="6">
        <f t="shared" si="17"/>
        <v>-411250</v>
      </c>
      <c r="AO38" s="9">
        <f t="shared" si="18"/>
        <v>-9386</v>
      </c>
      <c r="AP38" s="6">
        <f t="shared" si="19"/>
        <v>-20253</v>
      </c>
      <c r="AQ38" s="9">
        <f t="shared" si="20"/>
        <v>4209427</v>
      </c>
      <c r="AR38" s="6">
        <f t="shared" si="21"/>
        <v>-2023746</v>
      </c>
      <c r="AS38" s="9">
        <f t="shared" si="22"/>
        <v>6105098</v>
      </c>
      <c r="AT38" s="9">
        <f t="shared" si="23"/>
        <v>-50389</v>
      </c>
      <c r="AU38" s="6">
        <f t="shared" si="24"/>
        <v>0</v>
      </c>
      <c r="AV38" s="238">
        <f t="shared" si="12"/>
        <v>26775704</v>
      </c>
    </row>
    <row r="39" spans="1:48" x14ac:dyDescent="0.25">
      <c r="A39" t="s">
        <v>71</v>
      </c>
      <c r="B39">
        <v>33205</v>
      </c>
      <c r="C39" s="6">
        <f>VLOOKUP(B39,'ER Contributions'!A:D,4,FALSE)</f>
        <v>1808843</v>
      </c>
      <c r="D39" s="7">
        <f>VLOOKUP(B39,'ER Contributions'!A:D,3,FALSE)</f>
        <v>1.1825E-3</v>
      </c>
      <c r="E39" s="9">
        <f>VLOOKUP(B39,'75 - Summary Exhibit'!A:N,3,FALSE)</f>
        <v>40219928</v>
      </c>
      <c r="F39" s="9">
        <f>VLOOKUP(B39,'75 - Summary Exhibit'!A:N,4,FALSE)</f>
        <v>327816</v>
      </c>
      <c r="G39" s="9">
        <f>VLOOKUP(B39,'75 - Summary Exhibit'!A:N,5,FALSE)</f>
        <v>172349</v>
      </c>
      <c r="H39" s="9">
        <f>VLOOKUP(B39,'75 - Summary Exhibit'!A:N,6,FALSE)</f>
        <v>9686601</v>
      </c>
      <c r="I39" s="6">
        <f>VLOOKUP(B39,'75 - Summary Exhibit'!A:N,7,FALSE)</f>
        <v>3396764</v>
      </c>
      <c r="J39" s="6">
        <f>VLOOKUP(B39,'75 - Summary Exhibit'!A:N,8,FALSE)</f>
        <v>0</v>
      </c>
      <c r="K39" s="6">
        <f>VLOOKUP(B39,'75 - Summary Exhibit'!A:N,9,FALSE)</f>
        <v>0</v>
      </c>
      <c r="L39" s="6">
        <f>VLOOKUP(B39,'75 - Summary Exhibit'!A:N,10,FALSE)</f>
        <v>5243857</v>
      </c>
      <c r="M39" s="6">
        <f>VLOOKUP(B39,'75 - Summary Exhibit'!A:N,11,FALSE)</f>
        <v>339255</v>
      </c>
      <c r="N39" s="6">
        <f>VLOOKUP(B39,'75 - Summary Exhibit'!A:N,12,FALSE)</f>
        <v>1118606</v>
      </c>
      <c r="O39" s="6">
        <f>VLOOKUP(B39,'75 - Summary Exhibit'!A:N,13,FALSE)</f>
        <v>674287</v>
      </c>
      <c r="P39" s="6">
        <f t="shared" si="13"/>
        <v>1792893</v>
      </c>
      <c r="Q39" s="6">
        <f>VLOOKUP(B39,'75- Deferred Amortization'!A:G,3,FALSE)</f>
        <v>821325</v>
      </c>
      <c r="R39" s="6">
        <f>VLOOKUP(B39,'75- Deferred Amortization'!A:G,4,FALSE)</f>
        <v>2254143</v>
      </c>
      <c r="S39" s="6">
        <f>VLOOKUP(B39,'75- Deferred Amortization'!A:G,5,FALSE)</f>
        <v>2846105</v>
      </c>
      <c r="T39" s="6">
        <f>VLOOKUP(B39,'75- Deferred Amortization'!A:G,6,FALSE)</f>
        <v>2078844</v>
      </c>
      <c r="U39" s="6">
        <f>VLOOKUP(B39,'75- Deferred Amortization'!A:G,7,FALSE)</f>
        <v>0</v>
      </c>
      <c r="V39" s="6">
        <f t="shared" si="14"/>
        <v>1</v>
      </c>
      <c r="W39" s="6">
        <f t="shared" si="15"/>
        <v>1</v>
      </c>
      <c r="X39">
        <v>2</v>
      </c>
      <c r="Z39" s="205">
        <f>VLOOKUP(B39,'Noncap Contr Alloc'!A:C,3,FALSE)</f>
        <v>12237</v>
      </c>
      <c r="AC39" s="9">
        <v>30741510</v>
      </c>
      <c r="AD39" s="9">
        <v>338524</v>
      </c>
      <c r="AE39" s="9">
        <v>245579</v>
      </c>
      <c r="AF39" s="9">
        <v>3330241</v>
      </c>
      <c r="AG39" s="6">
        <v>3872569</v>
      </c>
      <c r="AH39" s="6">
        <v>30121</v>
      </c>
      <c r="AI39" s="6">
        <v>0</v>
      </c>
      <c r="AJ39" s="6">
        <v>8201587</v>
      </c>
      <c r="AK39" s="6">
        <v>1061393</v>
      </c>
      <c r="AM39" s="6">
        <f t="shared" si="16"/>
        <v>-475805</v>
      </c>
      <c r="AN39" s="6">
        <f t="shared" si="17"/>
        <v>-722138</v>
      </c>
      <c r="AO39" s="9">
        <f t="shared" si="18"/>
        <v>-10708</v>
      </c>
      <c r="AP39" s="6">
        <f t="shared" si="19"/>
        <v>-30121</v>
      </c>
      <c r="AQ39" s="9">
        <f t="shared" si="20"/>
        <v>6356360</v>
      </c>
      <c r="AR39" s="6">
        <f t="shared" si="21"/>
        <v>-2957730</v>
      </c>
      <c r="AS39" s="9">
        <f t="shared" si="22"/>
        <v>9478418</v>
      </c>
      <c r="AT39" s="9">
        <f t="shared" si="23"/>
        <v>-73230</v>
      </c>
      <c r="AU39" s="6">
        <f t="shared" si="24"/>
        <v>0</v>
      </c>
      <c r="AV39" s="238">
        <f t="shared" si="12"/>
        <v>40219928</v>
      </c>
    </row>
    <row r="40" spans="1:48" x14ac:dyDescent="0.25">
      <c r="A40" t="s">
        <v>72</v>
      </c>
      <c r="B40">
        <v>33305</v>
      </c>
      <c r="C40" s="6">
        <f>VLOOKUP(B40,'ER Contributions'!A:D,4,FALSE)</f>
        <v>660739</v>
      </c>
      <c r="D40" s="7">
        <f>VLOOKUP(B40,'ER Contributions'!A:D,3,FALSE)</f>
        <v>3.9609999999999998E-4</v>
      </c>
      <c r="E40" s="9">
        <f>VLOOKUP(B40,'75 - Summary Exhibit'!A:N,3,FALSE)</f>
        <v>13473897</v>
      </c>
      <c r="F40" s="9">
        <f>VLOOKUP(B40,'75 - Summary Exhibit'!A:N,4,FALSE)</f>
        <v>109820</v>
      </c>
      <c r="G40" s="9">
        <f>VLOOKUP(B40,'75 - Summary Exhibit'!A:N,5,FALSE)</f>
        <v>57738</v>
      </c>
      <c r="H40" s="9">
        <f>VLOOKUP(B40,'75 - Summary Exhibit'!A:N,6,FALSE)</f>
        <v>3245065</v>
      </c>
      <c r="I40" s="6">
        <f>VLOOKUP(B40,'75 - Summary Exhibit'!A:N,7,FALSE)</f>
        <v>954017</v>
      </c>
      <c r="J40" s="6">
        <f>VLOOKUP(B40,'75 - Summary Exhibit'!A:N,8,FALSE)</f>
        <v>0</v>
      </c>
      <c r="K40" s="6">
        <f>VLOOKUP(B40,'75 - Summary Exhibit'!A:N,9,FALSE)</f>
        <v>0</v>
      </c>
      <c r="L40" s="6">
        <f>VLOOKUP(B40,'75 - Summary Exhibit'!A:N,10,FALSE)</f>
        <v>1756721</v>
      </c>
      <c r="M40" s="6">
        <f>VLOOKUP(B40,'75 - Summary Exhibit'!A:N,11,FALSE)</f>
        <v>942420</v>
      </c>
      <c r="N40" s="6">
        <f>VLOOKUP(B40,'75 - Summary Exhibit'!A:N,12,FALSE)</f>
        <v>374739</v>
      </c>
      <c r="O40" s="6">
        <f>VLOOKUP(B40,'75 - Summary Exhibit'!A:N,13,FALSE)</f>
        <v>-506069</v>
      </c>
      <c r="P40" s="6">
        <f t="shared" si="13"/>
        <v>-131330</v>
      </c>
      <c r="Q40" s="6">
        <f>VLOOKUP(B40,'75- Deferred Amortization'!A:G,3,FALSE)</f>
        <v>-399814</v>
      </c>
      <c r="R40" s="6">
        <f>VLOOKUP(B40,'75- Deferred Amortization'!A:G,4,FALSE)</f>
        <v>232239</v>
      </c>
      <c r="S40" s="6">
        <f>VLOOKUP(B40,'75- Deferred Amortization'!A:G,5,FALSE)</f>
        <v>1096086</v>
      </c>
      <c r="T40" s="6">
        <f>VLOOKUP(B40,'75- Deferred Amortization'!A:G,6,FALSE)</f>
        <v>738988</v>
      </c>
      <c r="U40" s="6">
        <f>VLOOKUP(B40,'75- Deferred Amortization'!A:G,7,FALSE)</f>
        <v>0</v>
      </c>
      <c r="V40" s="6">
        <f t="shared" si="14"/>
        <v>2</v>
      </c>
      <c r="W40" s="6">
        <f t="shared" si="15"/>
        <v>0</v>
      </c>
      <c r="X40">
        <v>2</v>
      </c>
      <c r="Z40" s="205">
        <f>VLOOKUP(B40,'Noncap Contr Alloc'!A:C,3,FALSE)</f>
        <v>4099</v>
      </c>
      <c r="AC40" s="9">
        <v>10159989</v>
      </c>
      <c r="AD40" s="9">
        <v>111881</v>
      </c>
      <c r="AE40" s="9">
        <v>81163</v>
      </c>
      <c r="AF40" s="9">
        <v>1100636</v>
      </c>
      <c r="AG40" s="6">
        <v>716044</v>
      </c>
      <c r="AH40" s="6">
        <v>9955</v>
      </c>
      <c r="AI40" s="6">
        <v>0</v>
      </c>
      <c r="AJ40" s="6">
        <v>2710603</v>
      </c>
      <c r="AK40" s="6">
        <v>1731745</v>
      </c>
      <c r="AM40" s="6">
        <f t="shared" si="16"/>
        <v>237973</v>
      </c>
      <c r="AN40" s="6">
        <f t="shared" si="17"/>
        <v>-789325</v>
      </c>
      <c r="AO40" s="9">
        <f t="shared" si="18"/>
        <v>-2061</v>
      </c>
      <c r="AP40" s="6">
        <f t="shared" si="19"/>
        <v>-9955</v>
      </c>
      <c r="AQ40" s="9">
        <f t="shared" si="20"/>
        <v>2144429</v>
      </c>
      <c r="AR40" s="6">
        <f t="shared" si="21"/>
        <v>-953882</v>
      </c>
      <c r="AS40" s="9">
        <f t="shared" si="22"/>
        <v>3313908</v>
      </c>
      <c r="AT40" s="9">
        <f t="shared" si="23"/>
        <v>-23425</v>
      </c>
      <c r="AU40" s="6">
        <f t="shared" si="24"/>
        <v>0</v>
      </c>
      <c r="AV40" s="238">
        <f t="shared" si="12"/>
        <v>13473897</v>
      </c>
    </row>
    <row r="41" spans="1:48" x14ac:dyDescent="0.25">
      <c r="A41" t="s">
        <v>68</v>
      </c>
      <c r="B41">
        <v>32605</v>
      </c>
      <c r="C41" s="6">
        <f>VLOOKUP(B41,'ER Contributions'!A:D,4,FALSE)</f>
        <v>3923823</v>
      </c>
      <c r="D41" s="7">
        <f>VLOOKUP(B41,'ER Contributions'!A:D,3,FALSE)</f>
        <v>2.6161000000000001E-3</v>
      </c>
      <c r="E41" s="9">
        <f>VLOOKUP(B41,'75 - Summary Exhibit'!A:N,3,FALSE)</f>
        <v>88979935</v>
      </c>
      <c r="F41" s="9">
        <f>VLOOKUP(B41,'75 - Summary Exhibit'!A:N,4,FALSE)</f>
        <v>725238</v>
      </c>
      <c r="G41" s="9">
        <f>VLOOKUP(B41,'75 - Summary Exhibit'!A:N,5,FALSE)</f>
        <v>381294</v>
      </c>
      <c r="H41" s="9">
        <f>VLOOKUP(B41,'75 - Summary Exhibit'!A:N,6,FALSE)</f>
        <v>21430001</v>
      </c>
      <c r="I41" s="6">
        <f>VLOOKUP(B41,'75 - Summary Exhibit'!A:N,7,FALSE)</f>
        <v>7604369</v>
      </c>
      <c r="J41" s="6">
        <f>VLOOKUP(B41,'75 - Summary Exhibit'!A:N,8,FALSE)</f>
        <v>0</v>
      </c>
      <c r="K41" s="6">
        <f>VLOOKUP(B41,'75 - Summary Exhibit'!A:N,9,FALSE)</f>
        <v>0</v>
      </c>
      <c r="L41" s="6">
        <f>VLOOKUP(B41,'75 - Summary Exhibit'!A:N,10,FALSE)</f>
        <v>11601167</v>
      </c>
      <c r="M41" s="6">
        <f>VLOOKUP(B41,'75 - Summary Exhibit'!A:N,11,FALSE)</f>
        <v>270476</v>
      </c>
      <c r="N41" s="6">
        <f>VLOOKUP(B41,'75 - Summary Exhibit'!A:N,12,FALSE)</f>
        <v>2474731</v>
      </c>
      <c r="O41" s="6">
        <f>VLOOKUP(B41,'75 - Summary Exhibit'!A:N,13,FALSE)</f>
        <v>2976721</v>
      </c>
      <c r="P41" s="6">
        <f t="shared" si="13"/>
        <v>5451452</v>
      </c>
      <c r="Q41" s="6">
        <f>VLOOKUP(B41,'75- Deferred Amortization'!A:G,3,FALSE)</f>
        <v>2442622</v>
      </c>
      <c r="R41" s="6">
        <f>VLOOKUP(B41,'75- Deferred Amortization'!A:G,4,FALSE)</f>
        <v>4510422</v>
      </c>
      <c r="S41" s="6">
        <f>VLOOKUP(B41,'75- Deferred Amortization'!A:G,5,FALSE)</f>
        <v>6909560</v>
      </c>
      <c r="T41" s="6">
        <f>VLOOKUP(B41,'75- Deferred Amortization'!A:G,6,FALSE)</f>
        <v>4406656</v>
      </c>
      <c r="U41" s="6">
        <f>VLOOKUP(B41,'75- Deferred Amortization'!A:G,7,FALSE)</f>
        <v>0</v>
      </c>
      <c r="V41" s="6">
        <f t="shared" si="14"/>
        <v>-1</v>
      </c>
      <c r="W41" s="6">
        <f t="shared" si="15"/>
        <v>-1</v>
      </c>
      <c r="X41">
        <v>2</v>
      </c>
      <c r="Z41" s="205">
        <f>VLOOKUP(B41,'Noncap Contr Alloc'!A:C,3,FALSE)</f>
        <v>27071</v>
      </c>
      <c r="AC41" s="9">
        <v>68785878</v>
      </c>
      <c r="AD41" s="9">
        <v>757467</v>
      </c>
      <c r="AE41" s="9">
        <v>549497</v>
      </c>
      <c r="AF41" s="9">
        <v>7451605</v>
      </c>
      <c r="AG41" s="6">
        <v>9641819</v>
      </c>
      <c r="AH41" s="6">
        <v>67396</v>
      </c>
      <c r="AI41" s="6">
        <v>0</v>
      </c>
      <c r="AJ41" s="6">
        <v>18351517</v>
      </c>
      <c r="AK41" s="6">
        <v>405714</v>
      </c>
      <c r="AM41" s="6">
        <f t="shared" si="16"/>
        <v>-2037450</v>
      </c>
      <c r="AN41" s="6">
        <f t="shared" si="17"/>
        <v>-135238</v>
      </c>
      <c r="AO41" s="9">
        <f t="shared" si="18"/>
        <v>-32229</v>
      </c>
      <c r="AP41" s="6">
        <f t="shared" si="19"/>
        <v>-67396</v>
      </c>
      <c r="AQ41" s="9">
        <f t="shared" si="20"/>
        <v>13978396</v>
      </c>
      <c r="AR41" s="6">
        <f t="shared" si="21"/>
        <v>-6750350</v>
      </c>
      <c r="AS41" s="9">
        <f t="shared" si="22"/>
        <v>20194057</v>
      </c>
      <c r="AT41" s="9">
        <f t="shared" si="23"/>
        <v>-168203</v>
      </c>
      <c r="AU41" s="6">
        <f t="shared" si="24"/>
        <v>0</v>
      </c>
      <c r="AV41" s="238">
        <f t="shared" si="12"/>
        <v>88979935</v>
      </c>
    </row>
    <row r="42" spans="1:48" x14ac:dyDescent="0.25">
      <c r="A42" t="s">
        <v>73</v>
      </c>
      <c r="B42">
        <v>33405</v>
      </c>
      <c r="C42" s="6">
        <f>VLOOKUP(B42,'ER Contributions'!A:D,4,FALSE)</f>
        <v>2674234</v>
      </c>
      <c r="D42" s="7">
        <f>VLOOKUP(B42,'ER Contributions'!A:D,3,FALSE)</f>
        <v>1.7470000000000001E-3</v>
      </c>
      <c r="E42" s="9">
        <f>VLOOKUP(B42,'75 - Summary Exhibit'!A:N,3,FALSE)</f>
        <v>59421181</v>
      </c>
      <c r="F42" s="9">
        <f>VLOOKUP(B42,'75 - Summary Exhibit'!A:N,4,FALSE)</f>
        <v>484317</v>
      </c>
      <c r="G42" s="9">
        <f>VLOOKUP(B42,'75 - Summary Exhibit'!A:N,5,FALSE)</f>
        <v>254629</v>
      </c>
      <c r="H42" s="9">
        <f>VLOOKUP(B42,'75 - Summary Exhibit'!A:N,6,FALSE)</f>
        <v>14311047</v>
      </c>
      <c r="I42" s="6">
        <f>VLOOKUP(B42,'75 - Summary Exhibit'!A:N,7,FALSE)</f>
        <v>4267846</v>
      </c>
      <c r="J42" s="6">
        <f>VLOOKUP(B42,'75 - Summary Exhibit'!A:N,8,FALSE)</f>
        <v>0</v>
      </c>
      <c r="K42" s="6">
        <f>VLOOKUP(B42,'75 - Summary Exhibit'!A:N,9,FALSE)</f>
        <v>0</v>
      </c>
      <c r="L42" s="6">
        <f>VLOOKUP(B42,'75 - Summary Exhibit'!A:N,10,FALSE)</f>
        <v>7747309</v>
      </c>
      <c r="M42" s="6">
        <f>VLOOKUP(B42,'75 - Summary Exhibit'!A:N,11,FALSE)</f>
        <v>148288</v>
      </c>
      <c r="N42" s="6">
        <f>VLOOKUP(B42,'75 - Summary Exhibit'!A:N,12,FALSE)</f>
        <v>1652635</v>
      </c>
      <c r="O42" s="6">
        <f>VLOOKUP(B42,'75 - Summary Exhibit'!A:N,13,FALSE)</f>
        <v>1032492</v>
      </c>
      <c r="P42" s="6">
        <f t="shared" si="13"/>
        <v>2685127</v>
      </c>
      <c r="Q42" s="6">
        <f>VLOOKUP(B42,'75- Deferred Amortization'!A:G,3,FALSE)</f>
        <v>1020708</v>
      </c>
      <c r="R42" s="6">
        <f>VLOOKUP(B42,'75- Deferred Amortization'!A:G,4,FALSE)</f>
        <v>2784633</v>
      </c>
      <c r="S42" s="6">
        <f>VLOOKUP(B42,'75- Deferred Amortization'!A:G,5,FALSE)</f>
        <v>4406955</v>
      </c>
      <c r="T42" s="6">
        <f>VLOOKUP(B42,'75- Deferred Amortization'!A:G,6,FALSE)</f>
        <v>3209947</v>
      </c>
      <c r="U42" s="6">
        <f>VLOOKUP(B42,'75- Deferred Amortization'!A:G,7,FALSE)</f>
        <v>0</v>
      </c>
      <c r="V42" s="6">
        <f t="shared" si="14"/>
        <v>0</v>
      </c>
      <c r="W42" s="6">
        <f t="shared" si="15"/>
        <v>-1</v>
      </c>
      <c r="X42">
        <v>2</v>
      </c>
      <c r="Z42" s="205">
        <f>VLOOKUP(B42,'Noncap Contr Alloc'!A:C,3,FALSE)</f>
        <v>18078</v>
      </c>
      <c r="AC42" s="9">
        <v>44811442</v>
      </c>
      <c r="AD42" s="9">
        <v>493462</v>
      </c>
      <c r="AE42" s="9">
        <v>357977</v>
      </c>
      <c r="AF42" s="9">
        <v>4854443</v>
      </c>
      <c r="AG42" s="6">
        <v>3731906</v>
      </c>
      <c r="AH42" s="6">
        <v>43906</v>
      </c>
      <c r="AI42" s="6">
        <v>0</v>
      </c>
      <c r="AJ42" s="6">
        <v>11955331</v>
      </c>
      <c r="AK42" s="6">
        <v>633233</v>
      </c>
      <c r="AM42" s="6">
        <f t="shared" si="16"/>
        <v>535940</v>
      </c>
      <c r="AN42" s="6">
        <f t="shared" si="17"/>
        <v>-484945</v>
      </c>
      <c r="AO42" s="9">
        <f t="shared" si="18"/>
        <v>-9145</v>
      </c>
      <c r="AP42" s="6">
        <f t="shared" si="19"/>
        <v>-43906</v>
      </c>
      <c r="AQ42" s="9">
        <f t="shared" si="20"/>
        <v>9456604</v>
      </c>
      <c r="AR42" s="6">
        <f t="shared" si="21"/>
        <v>-4208022</v>
      </c>
      <c r="AS42" s="9">
        <f t="shared" si="22"/>
        <v>14609739</v>
      </c>
      <c r="AT42" s="9">
        <f t="shared" si="23"/>
        <v>-103348</v>
      </c>
      <c r="AU42" s="6">
        <f t="shared" si="24"/>
        <v>0</v>
      </c>
      <c r="AV42" s="238">
        <f t="shared" si="12"/>
        <v>59421181</v>
      </c>
    </row>
    <row r="43" spans="1:48" x14ac:dyDescent="0.25">
      <c r="A43" t="s">
        <v>74</v>
      </c>
      <c r="B43">
        <v>33605</v>
      </c>
      <c r="C43" s="6">
        <f>VLOOKUP(B43,'ER Contributions'!A:D,4,FALSE)</f>
        <v>1942036</v>
      </c>
      <c r="D43" s="7">
        <f>VLOOKUP(B43,'ER Contributions'!A:D,3,FALSE)</f>
        <v>1.0993000000000001E-3</v>
      </c>
      <c r="E43" s="9">
        <f>VLOOKUP(B43,'75 - Summary Exhibit'!A:N,3,FALSE)</f>
        <v>37390312</v>
      </c>
      <c r="F43" s="9">
        <f>VLOOKUP(B43,'75 - Summary Exhibit'!A:N,4,FALSE)</f>
        <v>304753</v>
      </c>
      <c r="G43" s="9">
        <f>VLOOKUP(B43,'75 - Summary Exhibit'!A:N,5,FALSE)</f>
        <v>160224</v>
      </c>
      <c r="H43" s="9">
        <f>VLOOKUP(B43,'75 - Summary Exhibit'!A:N,6,FALSE)</f>
        <v>9005114</v>
      </c>
      <c r="I43" s="6">
        <f>VLOOKUP(B43,'75 - Summary Exhibit'!A:N,7,FALSE)</f>
        <v>2354224</v>
      </c>
      <c r="J43" s="6">
        <f>VLOOKUP(B43,'75 - Summary Exhibit'!A:N,8,FALSE)</f>
        <v>0</v>
      </c>
      <c r="K43" s="6">
        <f>VLOOKUP(B43,'75 - Summary Exhibit'!A:N,9,FALSE)</f>
        <v>0</v>
      </c>
      <c r="L43" s="6">
        <f>VLOOKUP(B43,'75 - Summary Exhibit'!A:N,10,FALSE)</f>
        <v>4874933</v>
      </c>
      <c r="M43" s="6">
        <f>VLOOKUP(B43,'75 - Summary Exhibit'!A:N,11,FALSE)</f>
        <v>874579</v>
      </c>
      <c r="N43" s="6">
        <f>VLOOKUP(B43,'75 - Summary Exhibit'!A:N,12,FALSE)</f>
        <v>1039909</v>
      </c>
      <c r="O43" s="6">
        <f>VLOOKUP(B43,'75 - Summary Exhibit'!A:N,13,FALSE)</f>
        <v>-372249</v>
      </c>
      <c r="P43" s="6">
        <f t="shared" si="13"/>
        <v>667660</v>
      </c>
      <c r="Q43" s="6">
        <f>VLOOKUP(B43,'75- Deferred Amortization'!A:G,3,FALSE)</f>
        <v>-153469</v>
      </c>
      <c r="R43" s="6">
        <f>VLOOKUP(B43,'75- Deferred Amortization'!A:G,4,FALSE)</f>
        <v>1439348</v>
      </c>
      <c r="S43" s="6">
        <f>VLOOKUP(B43,'75- Deferred Amortization'!A:G,5,FALSE)</f>
        <v>2860581</v>
      </c>
      <c r="T43" s="6">
        <f>VLOOKUP(B43,'75- Deferred Amortization'!A:G,6,FALSE)</f>
        <v>1928342</v>
      </c>
      <c r="U43" s="6">
        <f>VLOOKUP(B43,'75- Deferred Amortization'!A:G,7,FALSE)</f>
        <v>0</v>
      </c>
      <c r="V43" s="6">
        <f t="shared" si="14"/>
        <v>2</v>
      </c>
      <c r="W43" s="6">
        <f t="shared" si="15"/>
        <v>1</v>
      </c>
      <c r="X43">
        <v>2</v>
      </c>
      <c r="Z43" s="205">
        <f>VLOOKUP(B43,'Noncap Contr Alloc'!A:C,3,FALSE)</f>
        <v>11376</v>
      </c>
      <c r="AC43" s="9">
        <v>28825741</v>
      </c>
      <c r="AD43" s="9">
        <v>317428</v>
      </c>
      <c r="AE43" s="9">
        <v>230275</v>
      </c>
      <c r="AF43" s="9">
        <v>3122705</v>
      </c>
      <c r="AG43" s="6">
        <v>2310782</v>
      </c>
      <c r="AH43" s="6">
        <v>28243</v>
      </c>
      <c r="AI43" s="6">
        <v>0</v>
      </c>
      <c r="AJ43" s="6">
        <v>7690475</v>
      </c>
      <c r="AK43" s="6">
        <v>2037994</v>
      </c>
      <c r="AM43" s="6">
        <f t="shared" si="16"/>
        <v>43442</v>
      </c>
      <c r="AN43" s="6">
        <f t="shared" si="17"/>
        <v>-1163415</v>
      </c>
      <c r="AO43" s="9">
        <f t="shared" si="18"/>
        <v>-12675</v>
      </c>
      <c r="AP43" s="6">
        <f t="shared" si="19"/>
        <v>-28243</v>
      </c>
      <c r="AQ43" s="9">
        <f t="shared" si="20"/>
        <v>5882409</v>
      </c>
      <c r="AR43" s="6">
        <f t="shared" si="21"/>
        <v>-2815542</v>
      </c>
      <c r="AS43" s="9">
        <f t="shared" si="22"/>
        <v>8564571</v>
      </c>
      <c r="AT43" s="9">
        <f t="shared" si="23"/>
        <v>-70051</v>
      </c>
      <c r="AU43" s="6">
        <f t="shared" si="24"/>
        <v>0</v>
      </c>
      <c r="AV43" s="238">
        <f t="shared" si="12"/>
        <v>37390312</v>
      </c>
    </row>
    <row r="44" spans="1:48" x14ac:dyDescent="0.25">
      <c r="A44" t="s">
        <v>75</v>
      </c>
      <c r="B44">
        <v>34105</v>
      </c>
      <c r="C44" s="6">
        <f>VLOOKUP(B44,'ER Contributions'!A:D,4,FALSE)</f>
        <v>3212920</v>
      </c>
      <c r="D44" s="7">
        <f>VLOOKUP(B44,'ER Contributions'!A:D,3,FALSE)</f>
        <v>1.7868999999999999E-3</v>
      </c>
      <c r="E44" s="9">
        <f>VLOOKUP(B44,'75 - Summary Exhibit'!A:N,3,FALSE)</f>
        <v>60777682</v>
      </c>
      <c r="F44" s="9">
        <f>VLOOKUP(B44,'75 - Summary Exhibit'!A:N,4,FALSE)</f>
        <v>495374</v>
      </c>
      <c r="G44" s="9">
        <f>VLOOKUP(B44,'75 - Summary Exhibit'!A:N,5,FALSE)</f>
        <v>260442</v>
      </c>
      <c r="H44" s="9">
        <f>VLOOKUP(B44,'75 - Summary Exhibit'!A:N,6,FALSE)</f>
        <v>14637747</v>
      </c>
      <c r="I44" s="6">
        <f>VLOOKUP(B44,'75 - Summary Exhibit'!A:N,7,FALSE)</f>
        <v>1003096</v>
      </c>
      <c r="J44" s="6">
        <f>VLOOKUP(B44,'75 - Summary Exhibit'!A:N,8,FALSE)</f>
        <v>0</v>
      </c>
      <c r="K44" s="6">
        <f>VLOOKUP(B44,'75 - Summary Exhibit'!A:N,9,FALSE)</f>
        <v>0</v>
      </c>
      <c r="L44" s="6">
        <f>VLOOKUP(B44,'75 - Summary Exhibit'!A:N,10,FALSE)</f>
        <v>7924169</v>
      </c>
      <c r="M44" s="6">
        <f>VLOOKUP(B44,'75 - Summary Exhibit'!A:N,11,FALSE)</f>
        <v>1410056</v>
      </c>
      <c r="N44" s="6">
        <f>VLOOKUP(B44,'75 - Summary Exhibit'!A:N,12,FALSE)</f>
        <v>1690362</v>
      </c>
      <c r="O44" s="6">
        <f>VLOOKUP(B44,'75 - Summary Exhibit'!A:N,13,FALSE)</f>
        <v>-1457729</v>
      </c>
      <c r="P44" s="6">
        <f t="shared" si="13"/>
        <v>232633</v>
      </c>
      <c r="Q44" s="6">
        <f>VLOOKUP(B44,'75- Deferred Amortization'!A:G,3,FALSE)</f>
        <v>-948622</v>
      </c>
      <c r="R44" s="6">
        <f>VLOOKUP(B44,'75- Deferred Amortization'!A:G,4,FALSE)</f>
        <v>1264921</v>
      </c>
      <c r="S44" s="6">
        <f>VLOOKUP(B44,'75- Deferred Amortization'!A:G,5,FALSE)</f>
        <v>3880355</v>
      </c>
      <c r="T44" s="6">
        <f>VLOOKUP(B44,'75- Deferred Amortization'!A:G,6,FALSE)</f>
        <v>2865780</v>
      </c>
      <c r="U44" s="6">
        <f>VLOOKUP(B44,'75- Deferred Amortization'!A:G,7,FALSE)</f>
        <v>0</v>
      </c>
      <c r="V44" s="6">
        <f t="shared" si="14"/>
        <v>-1</v>
      </c>
      <c r="W44" s="6">
        <f t="shared" si="15"/>
        <v>0</v>
      </c>
      <c r="X44">
        <v>2</v>
      </c>
      <c r="Z44" s="205">
        <f>VLOOKUP(B44,'Noncap Contr Alloc'!A:C,3,FALSE)</f>
        <v>18491</v>
      </c>
      <c r="AC44" s="9">
        <v>48083431</v>
      </c>
      <c r="AD44" s="9">
        <v>529493</v>
      </c>
      <c r="AE44" s="9">
        <v>384115</v>
      </c>
      <c r="AF44" s="9">
        <v>5208899</v>
      </c>
      <c r="AG44" s="6">
        <v>1383382</v>
      </c>
      <c r="AH44" s="6">
        <v>47112</v>
      </c>
      <c r="AI44" s="6">
        <v>0</v>
      </c>
      <c r="AJ44" s="6">
        <v>12828271</v>
      </c>
      <c r="AK44" s="6">
        <v>3261100</v>
      </c>
      <c r="AM44" s="6">
        <f t="shared" si="16"/>
        <v>-380286</v>
      </c>
      <c r="AN44" s="6">
        <f t="shared" si="17"/>
        <v>-1851044</v>
      </c>
      <c r="AO44" s="9">
        <f t="shared" si="18"/>
        <v>-34119</v>
      </c>
      <c r="AP44" s="6">
        <f t="shared" si="19"/>
        <v>-47112</v>
      </c>
      <c r="AQ44" s="9">
        <f t="shared" si="20"/>
        <v>9428848</v>
      </c>
      <c r="AR44" s="6">
        <f t="shared" si="21"/>
        <v>-4904102</v>
      </c>
      <c r="AS44" s="9">
        <f t="shared" si="22"/>
        <v>12694251</v>
      </c>
      <c r="AT44" s="9">
        <f t="shared" si="23"/>
        <v>-123673</v>
      </c>
      <c r="AU44" s="6">
        <f t="shared" si="24"/>
        <v>0</v>
      </c>
      <c r="AV44" s="238">
        <f t="shared" si="12"/>
        <v>60777682</v>
      </c>
    </row>
    <row r="45" spans="1:48" x14ac:dyDescent="0.25">
      <c r="A45" t="s">
        <v>76</v>
      </c>
      <c r="B45">
        <v>34205</v>
      </c>
      <c r="C45" s="6">
        <f>VLOOKUP(B45,'ER Contributions'!A:D,4,FALSE)</f>
        <v>439680</v>
      </c>
      <c r="D45" s="7">
        <f>VLOOKUP(B45,'ER Contributions'!A:D,3,FALSE)</f>
        <v>2.9090000000000002E-4</v>
      </c>
      <c r="E45" s="9">
        <f>VLOOKUP(B45,'75 - Summary Exhibit'!A:N,3,FALSE)</f>
        <v>9892776</v>
      </c>
      <c r="F45" s="9">
        <f>VLOOKUP(B45,'75 - Summary Exhibit'!A:N,4,FALSE)</f>
        <v>80632</v>
      </c>
      <c r="G45" s="9">
        <f>VLOOKUP(B45,'75 - Summary Exhibit'!A:N,5,FALSE)</f>
        <v>42392</v>
      </c>
      <c r="H45" s="9">
        <f>VLOOKUP(B45,'75 - Summary Exhibit'!A:N,6,FALSE)</f>
        <v>2382584</v>
      </c>
      <c r="I45" s="6">
        <f>VLOOKUP(B45,'75 - Summary Exhibit'!A:N,7,FALSE)</f>
        <v>425074</v>
      </c>
      <c r="J45" s="6">
        <f>VLOOKUP(B45,'75 - Summary Exhibit'!A:N,8,FALSE)</f>
        <v>0</v>
      </c>
      <c r="K45" s="6">
        <f>VLOOKUP(B45,'75 - Summary Exhibit'!A:N,9,FALSE)</f>
        <v>0</v>
      </c>
      <c r="L45" s="6">
        <f>VLOOKUP(B45,'75 - Summary Exhibit'!A:N,10,FALSE)</f>
        <v>1289816</v>
      </c>
      <c r="M45" s="6">
        <f>VLOOKUP(B45,'75 - Summary Exhibit'!A:N,11,FALSE)</f>
        <v>1431422</v>
      </c>
      <c r="N45" s="6">
        <f>VLOOKUP(B45,'75 - Summary Exhibit'!A:N,12,FALSE)</f>
        <v>275142</v>
      </c>
      <c r="O45" s="6">
        <f>VLOOKUP(B45,'75 - Summary Exhibit'!A:N,13,FALSE)</f>
        <v>-540453</v>
      </c>
      <c r="P45" s="6">
        <f t="shared" si="13"/>
        <v>-265311</v>
      </c>
      <c r="Q45" s="6">
        <f>VLOOKUP(B45,'75- Deferred Amortization'!A:G,3,FALSE)</f>
        <v>-449774</v>
      </c>
      <c r="R45" s="6">
        <f>VLOOKUP(B45,'75- Deferred Amortization'!A:G,4,FALSE)</f>
        <v>45715</v>
      </c>
      <c r="S45" s="6">
        <f>VLOOKUP(B45,'75- Deferred Amortization'!A:G,5,FALSE)</f>
        <v>356480</v>
      </c>
      <c r="T45" s="6">
        <f>VLOOKUP(B45,'75- Deferred Amortization'!A:G,6,FALSE)</f>
        <v>257023</v>
      </c>
      <c r="U45" s="6">
        <f>VLOOKUP(B45,'75- Deferred Amortization'!A:G,7,FALSE)</f>
        <v>0</v>
      </c>
      <c r="V45" s="6">
        <f t="shared" si="14"/>
        <v>2</v>
      </c>
      <c r="W45" s="6">
        <f t="shared" si="15"/>
        <v>0</v>
      </c>
      <c r="X45">
        <v>2</v>
      </c>
      <c r="Z45" s="205">
        <f>VLOOKUP(B45,'Noncap Contr Alloc'!A:C,3,FALSE)</f>
        <v>3010</v>
      </c>
      <c r="AC45" s="9">
        <v>8671747</v>
      </c>
      <c r="AD45" s="9">
        <v>95493</v>
      </c>
      <c r="AE45" s="9">
        <v>69274</v>
      </c>
      <c r="AF45" s="9">
        <v>939414</v>
      </c>
      <c r="AG45" s="6">
        <v>637611</v>
      </c>
      <c r="AH45" s="6">
        <v>8497</v>
      </c>
      <c r="AI45" s="6">
        <v>0</v>
      </c>
      <c r="AJ45" s="6">
        <v>2313552</v>
      </c>
      <c r="AK45" s="6">
        <v>1139331</v>
      </c>
      <c r="AM45" s="6">
        <f t="shared" si="16"/>
        <v>-212537</v>
      </c>
      <c r="AN45" s="6">
        <f t="shared" si="17"/>
        <v>292091</v>
      </c>
      <c r="AO45" s="9">
        <f t="shared" si="18"/>
        <v>-14861</v>
      </c>
      <c r="AP45" s="6">
        <f t="shared" si="19"/>
        <v>-8497</v>
      </c>
      <c r="AQ45" s="9">
        <f t="shared" si="20"/>
        <v>1443170</v>
      </c>
      <c r="AR45" s="6">
        <f t="shared" si="21"/>
        <v>-1023736</v>
      </c>
      <c r="AS45" s="9">
        <f t="shared" si="22"/>
        <v>1221029</v>
      </c>
      <c r="AT45" s="9">
        <f t="shared" si="23"/>
        <v>-26882</v>
      </c>
      <c r="AU45" s="6">
        <f t="shared" si="24"/>
        <v>0</v>
      </c>
      <c r="AV45" s="238">
        <f t="shared" si="12"/>
        <v>9892776</v>
      </c>
    </row>
    <row r="46" spans="1:48" x14ac:dyDescent="0.25">
      <c r="A46" t="s">
        <v>77</v>
      </c>
      <c r="B46">
        <v>34405</v>
      </c>
      <c r="C46" s="6">
        <f>VLOOKUP(B46,'ER Contributions'!A:D,4,FALSE)</f>
        <v>601160</v>
      </c>
      <c r="D46" s="7">
        <f>VLOOKUP(B46,'ER Contributions'!A:D,3,FALSE)</f>
        <v>4.0479999999999997E-4</v>
      </c>
      <c r="E46" s="9">
        <f>VLOOKUP(B46,'75 - Summary Exhibit'!A:N,3,FALSE)</f>
        <v>13768136</v>
      </c>
      <c r="F46" s="9">
        <f>VLOOKUP(B46,'75 - Summary Exhibit'!A:N,4,FALSE)</f>
        <v>112218</v>
      </c>
      <c r="G46" s="9">
        <f>VLOOKUP(B46,'75 - Summary Exhibit'!A:N,5,FALSE)</f>
        <v>58999</v>
      </c>
      <c r="H46" s="9">
        <f>VLOOKUP(B46,'75 - Summary Exhibit'!A:N,6,FALSE)</f>
        <v>3315929</v>
      </c>
      <c r="I46" s="6">
        <f>VLOOKUP(B46,'75 - Summary Exhibit'!A:N,7,FALSE)</f>
        <v>42616</v>
      </c>
      <c r="J46" s="6">
        <f>VLOOKUP(B46,'75 - Summary Exhibit'!A:N,8,FALSE)</f>
        <v>0</v>
      </c>
      <c r="K46" s="6">
        <f>VLOOKUP(B46,'75 - Summary Exhibit'!A:N,9,FALSE)</f>
        <v>0</v>
      </c>
      <c r="L46" s="6">
        <f>VLOOKUP(B46,'75 - Summary Exhibit'!A:N,10,FALSE)</f>
        <v>1795084</v>
      </c>
      <c r="M46" s="6">
        <f>VLOOKUP(B46,'75 - Summary Exhibit'!A:N,11,FALSE)</f>
        <v>1257977</v>
      </c>
      <c r="N46" s="6">
        <f>VLOOKUP(B46,'75 - Summary Exhibit'!A:N,12,FALSE)</f>
        <v>382924</v>
      </c>
      <c r="O46" s="6">
        <f>VLOOKUP(B46,'75 - Summary Exhibit'!A:N,13,FALSE)</f>
        <v>-579890</v>
      </c>
      <c r="P46" s="6">
        <f t="shared" si="13"/>
        <v>-196966</v>
      </c>
      <c r="Q46" s="6">
        <f>VLOOKUP(B46,'75- Deferred Amortization'!A:G,3,FALSE)</f>
        <v>-643039</v>
      </c>
      <c r="R46" s="6">
        <f>VLOOKUP(B46,'75- Deferred Amortization'!A:G,4,FALSE)</f>
        <v>56563</v>
      </c>
      <c r="S46" s="6">
        <f>VLOOKUP(B46,'75- Deferred Amortization'!A:G,5,FALSE)</f>
        <v>612427</v>
      </c>
      <c r="T46" s="6">
        <f>VLOOKUP(B46,'75- Deferred Amortization'!A:G,6,FALSE)</f>
        <v>450750</v>
      </c>
      <c r="U46" s="6">
        <f>VLOOKUP(B46,'75- Deferred Amortization'!A:G,7,FALSE)</f>
        <v>0</v>
      </c>
      <c r="V46" s="6">
        <f t="shared" si="14"/>
        <v>1</v>
      </c>
      <c r="W46" s="6">
        <f t="shared" si="15"/>
        <v>0</v>
      </c>
      <c r="X46">
        <v>2</v>
      </c>
      <c r="Z46" s="205">
        <f>VLOOKUP(B46,'Noncap Contr Alloc'!A:C,3,FALSE)</f>
        <v>4189</v>
      </c>
      <c r="AC46" s="9">
        <v>11651430</v>
      </c>
      <c r="AD46" s="9">
        <v>128305</v>
      </c>
      <c r="AE46" s="9">
        <v>93078</v>
      </c>
      <c r="AF46" s="9">
        <v>1262205</v>
      </c>
      <c r="AG46" s="6">
        <v>63924</v>
      </c>
      <c r="AH46" s="6">
        <v>11416</v>
      </c>
      <c r="AI46" s="6">
        <v>0</v>
      </c>
      <c r="AJ46" s="6">
        <v>3108507</v>
      </c>
      <c r="AK46" s="6">
        <v>869910</v>
      </c>
      <c r="AM46" s="6">
        <f t="shared" si="16"/>
        <v>-21308</v>
      </c>
      <c r="AN46" s="6">
        <f t="shared" si="17"/>
        <v>388067</v>
      </c>
      <c r="AO46" s="9">
        <f t="shared" si="18"/>
        <v>-16087</v>
      </c>
      <c r="AP46" s="6">
        <f t="shared" si="19"/>
        <v>-11416</v>
      </c>
      <c r="AQ46" s="9">
        <f t="shared" si="20"/>
        <v>2053724</v>
      </c>
      <c r="AR46" s="6">
        <f t="shared" si="21"/>
        <v>-1313423</v>
      </c>
      <c r="AS46" s="9">
        <f t="shared" si="22"/>
        <v>2116706</v>
      </c>
      <c r="AT46" s="9">
        <f t="shared" si="23"/>
        <v>-34079</v>
      </c>
      <c r="AU46" s="6">
        <f t="shared" si="24"/>
        <v>0</v>
      </c>
      <c r="AV46" s="238">
        <f t="shared" si="12"/>
        <v>13768136</v>
      </c>
    </row>
    <row r="47" spans="1:48" x14ac:dyDescent="0.25">
      <c r="A47" t="s">
        <v>103</v>
      </c>
      <c r="B47">
        <v>38105</v>
      </c>
      <c r="C47" s="6">
        <f>VLOOKUP(B47,'ER Contributions'!A:D,4,FALSE)</f>
        <v>773568</v>
      </c>
      <c r="D47" s="7">
        <f>VLOOKUP(B47,'ER Contributions'!A:D,3,FALSE)</f>
        <v>5.4560000000000003E-4</v>
      </c>
      <c r="E47" s="9">
        <f>VLOOKUP(B47,'75 - Summary Exhibit'!A:N,3,FALSE)</f>
        <v>18557470</v>
      </c>
      <c r="F47" s="9">
        <f>VLOOKUP(B47,'75 - Summary Exhibit'!A:N,4,FALSE)</f>
        <v>151254</v>
      </c>
      <c r="G47" s="9">
        <f>VLOOKUP(B47,'75 - Summary Exhibit'!A:N,5,FALSE)</f>
        <v>79522</v>
      </c>
      <c r="H47" s="9">
        <f>VLOOKUP(B47,'75 - Summary Exhibit'!A:N,6,FALSE)</f>
        <v>4469396</v>
      </c>
      <c r="I47" s="6">
        <f>VLOOKUP(B47,'75 - Summary Exhibit'!A:N,7,FALSE)</f>
        <v>851156</v>
      </c>
      <c r="J47" s="6">
        <f>VLOOKUP(B47,'75 - Summary Exhibit'!A:N,8,FALSE)</f>
        <v>0</v>
      </c>
      <c r="K47" s="6">
        <f>VLOOKUP(B47,'75 - Summary Exhibit'!A:N,9,FALSE)</f>
        <v>0</v>
      </c>
      <c r="L47" s="6">
        <f>VLOOKUP(B47,'75 - Summary Exhibit'!A:N,10,FALSE)</f>
        <v>2419515</v>
      </c>
      <c r="M47" s="6">
        <f>VLOOKUP(B47,'75 - Summary Exhibit'!A:N,11,FALSE)</f>
        <v>268387</v>
      </c>
      <c r="N47" s="6">
        <f>VLOOKUP(B47,'75 - Summary Exhibit'!A:N,12,FALSE)</f>
        <v>516124</v>
      </c>
      <c r="O47" s="6">
        <f>VLOOKUP(B47,'75 - Summary Exhibit'!A:N,13,FALSE)</f>
        <v>5918</v>
      </c>
      <c r="P47" s="6">
        <f t="shared" si="13"/>
        <v>522042</v>
      </c>
      <c r="Q47" s="6">
        <f>VLOOKUP(B47,'75- Deferred Amortization'!A:G,3,FALSE)</f>
        <v>29165</v>
      </c>
      <c r="R47" s="6">
        <f>VLOOKUP(B47,'75- Deferred Amortization'!A:G,4,FALSE)</f>
        <v>584882</v>
      </c>
      <c r="S47" s="6">
        <f>VLOOKUP(B47,'75- Deferred Amortization'!A:G,5,FALSE)</f>
        <v>1351428</v>
      </c>
      <c r="T47" s="6">
        <f>VLOOKUP(B47,'75- Deferred Amortization'!A:G,6,FALSE)</f>
        <v>897951</v>
      </c>
      <c r="U47" s="6">
        <f>VLOOKUP(B47,'75- Deferred Amortization'!A:G,7,FALSE)</f>
        <v>0</v>
      </c>
      <c r="V47" s="6">
        <f t="shared" si="14"/>
        <v>-1</v>
      </c>
      <c r="W47" s="6">
        <f t="shared" si="15"/>
        <v>0</v>
      </c>
      <c r="X47">
        <v>2</v>
      </c>
      <c r="Z47" s="205">
        <f>VLOOKUP(B47,'Noncap Contr Alloc'!A:C,3,FALSE)</f>
        <v>5646</v>
      </c>
      <c r="AC47" s="9">
        <v>14399051</v>
      </c>
      <c r="AD47" s="9">
        <v>158562</v>
      </c>
      <c r="AE47" s="9">
        <v>115027</v>
      </c>
      <c r="AF47" s="9">
        <v>1559856</v>
      </c>
      <c r="AG47" s="6">
        <v>1030272</v>
      </c>
      <c r="AH47" s="6">
        <v>14108</v>
      </c>
      <c r="AI47" s="6">
        <v>0</v>
      </c>
      <c r="AJ47" s="6">
        <v>3841551</v>
      </c>
      <c r="AK47" s="6">
        <v>560222</v>
      </c>
      <c r="AM47" s="6">
        <f t="shared" si="16"/>
        <v>-179116</v>
      </c>
      <c r="AN47" s="6">
        <f t="shared" si="17"/>
        <v>-291835</v>
      </c>
      <c r="AO47" s="9">
        <f t="shared" si="18"/>
        <v>-7308</v>
      </c>
      <c r="AP47" s="6">
        <f t="shared" si="19"/>
        <v>-14108</v>
      </c>
      <c r="AQ47" s="9">
        <f t="shared" si="20"/>
        <v>2909540</v>
      </c>
      <c r="AR47" s="6">
        <f t="shared" si="21"/>
        <v>-1422036</v>
      </c>
      <c r="AS47" s="9">
        <f t="shared" si="22"/>
        <v>4158419</v>
      </c>
      <c r="AT47" s="9">
        <f t="shared" si="23"/>
        <v>-35505</v>
      </c>
      <c r="AU47" s="6">
        <f t="shared" si="24"/>
        <v>0</v>
      </c>
      <c r="AV47" s="238">
        <f t="shared" si="12"/>
        <v>18557470</v>
      </c>
    </row>
    <row r="48" spans="1:48" x14ac:dyDescent="0.25">
      <c r="A48" t="s">
        <v>70</v>
      </c>
      <c r="B48">
        <v>33105</v>
      </c>
      <c r="C48" s="6">
        <f>VLOOKUP(B48,'ER Contributions'!A:D,4,FALSE)</f>
        <v>580296</v>
      </c>
      <c r="D48" s="7">
        <f>VLOOKUP(B48,'ER Contributions'!A:D,3,FALSE)</f>
        <v>3.5070000000000001E-4</v>
      </c>
      <c r="E48" s="9">
        <f>VLOOKUP(B48,'75 - Summary Exhibit'!A:N,3,FALSE)</f>
        <v>11927647</v>
      </c>
      <c r="F48" s="9">
        <f>VLOOKUP(B48,'75 - Summary Exhibit'!A:N,4,FALSE)</f>
        <v>97217</v>
      </c>
      <c r="G48" s="9">
        <f>VLOOKUP(B48,'75 - Summary Exhibit'!A:N,5,FALSE)</f>
        <v>51112</v>
      </c>
      <c r="H48" s="9">
        <f>VLOOKUP(B48,'75 - Summary Exhibit'!A:N,6,FALSE)</f>
        <v>2872664</v>
      </c>
      <c r="I48" s="6">
        <f>VLOOKUP(B48,'75 - Summary Exhibit'!A:N,7,FALSE)</f>
        <v>885166</v>
      </c>
      <c r="J48" s="6">
        <f>VLOOKUP(B48,'75 - Summary Exhibit'!A:N,8,FALSE)</f>
        <v>0</v>
      </c>
      <c r="K48" s="6">
        <f>VLOOKUP(B48,'75 - Summary Exhibit'!A:N,9,FALSE)</f>
        <v>0</v>
      </c>
      <c r="L48" s="6">
        <f>VLOOKUP(B48,'75 - Summary Exhibit'!A:N,10,FALSE)</f>
        <v>1555122</v>
      </c>
      <c r="M48" s="6">
        <f>VLOOKUP(B48,'75 - Summary Exhibit'!A:N,11,FALSE)</f>
        <v>449068</v>
      </c>
      <c r="N48" s="6">
        <f>VLOOKUP(B48,'75 - Summary Exhibit'!A:N,12,FALSE)</f>
        <v>331736</v>
      </c>
      <c r="O48" s="6">
        <f>VLOOKUP(B48,'75 - Summary Exhibit'!A:N,13,FALSE)</f>
        <v>87115</v>
      </c>
      <c r="P48" s="6">
        <f t="shared" si="13"/>
        <v>418851</v>
      </c>
      <c r="Q48" s="6">
        <f>VLOOKUP(B48,'75- Deferred Amortization'!A:G,3,FALSE)</f>
        <v>185139</v>
      </c>
      <c r="R48" s="6">
        <f>VLOOKUP(B48,'75- Deferred Amortization'!A:G,4,FALSE)</f>
        <v>488131</v>
      </c>
      <c r="S48" s="6">
        <f>VLOOKUP(B48,'75- Deferred Amortization'!A:G,5,FALSE)</f>
        <v>779068</v>
      </c>
      <c r="T48" s="6">
        <f>VLOOKUP(B48,'75- Deferred Amortization'!A:G,6,FALSE)</f>
        <v>449632</v>
      </c>
      <c r="U48" s="6">
        <f>VLOOKUP(B48,'75- Deferred Amortization'!A:G,7,FALSE)</f>
        <v>0</v>
      </c>
      <c r="V48" s="6">
        <f t="shared" si="14"/>
        <v>0</v>
      </c>
      <c r="W48" s="6">
        <f t="shared" si="15"/>
        <v>-1</v>
      </c>
      <c r="X48">
        <v>2</v>
      </c>
      <c r="Z48" s="205">
        <f>VLOOKUP(B48,'Noncap Contr Alloc'!A:C,3,FALSE)</f>
        <v>3629</v>
      </c>
      <c r="AC48" s="9">
        <v>9886789</v>
      </c>
      <c r="AD48" s="9">
        <v>108873</v>
      </c>
      <c r="AE48" s="9">
        <v>78981</v>
      </c>
      <c r="AF48" s="9">
        <v>1071040</v>
      </c>
      <c r="AG48" s="6">
        <v>1252514</v>
      </c>
      <c r="AH48" s="6">
        <v>9687</v>
      </c>
      <c r="AI48" s="6">
        <v>0</v>
      </c>
      <c r="AJ48" s="6">
        <v>2637716</v>
      </c>
      <c r="AK48" s="6">
        <v>167968</v>
      </c>
      <c r="AM48" s="6">
        <f t="shared" si="16"/>
        <v>-367348</v>
      </c>
      <c r="AN48" s="6">
        <f t="shared" si="17"/>
        <v>281100</v>
      </c>
      <c r="AO48" s="9">
        <f t="shared" si="18"/>
        <v>-11656</v>
      </c>
      <c r="AP48" s="6">
        <f t="shared" si="19"/>
        <v>-9687</v>
      </c>
      <c r="AQ48" s="9">
        <f t="shared" si="20"/>
        <v>1801624</v>
      </c>
      <c r="AR48" s="6">
        <f t="shared" si="21"/>
        <v>-1082594</v>
      </c>
      <c r="AS48" s="9">
        <f t="shared" si="22"/>
        <v>2040858</v>
      </c>
      <c r="AT48" s="9">
        <f t="shared" si="23"/>
        <v>-27869</v>
      </c>
      <c r="AU48" s="6">
        <f t="shared" si="24"/>
        <v>0</v>
      </c>
      <c r="AV48" s="238">
        <f t="shared" si="12"/>
        <v>11927647</v>
      </c>
    </row>
    <row r="49" spans="1:48" x14ac:dyDescent="0.25">
      <c r="A49" t="s">
        <v>82</v>
      </c>
      <c r="B49">
        <v>35105</v>
      </c>
      <c r="C49" s="6">
        <f>VLOOKUP(B49,'ER Contributions'!A:D,4,FALSE)</f>
        <v>1529119</v>
      </c>
      <c r="D49" s="7">
        <f>VLOOKUP(B49,'ER Contributions'!A:D,3,FALSE)</f>
        <v>1.0106E-3</v>
      </c>
      <c r="E49" s="9">
        <f>VLOOKUP(B49,'75 - Summary Exhibit'!A:N,3,FALSE)</f>
        <v>34374732</v>
      </c>
      <c r="F49" s="9">
        <f>VLOOKUP(B49,'75 - Summary Exhibit'!A:N,4,FALSE)</f>
        <v>280174</v>
      </c>
      <c r="G49" s="9">
        <f>VLOOKUP(B49,'75 - Summary Exhibit'!A:N,5,FALSE)</f>
        <v>147301</v>
      </c>
      <c r="H49" s="9">
        <f>VLOOKUP(B49,'75 - Summary Exhibit'!A:N,6,FALSE)</f>
        <v>8278839</v>
      </c>
      <c r="I49" s="6">
        <f>VLOOKUP(B49,'75 - Summary Exhibit'!A:N,7,FALSE)</f>
        <v>1430965</v>
      </c>
      <c r="J49" s="6">
        <f>VLOOKUP(B49,'75 - Summary Exhibit'!A:N,8,FALSE)</f>
        <v>0</v>
      </c>
      <c r="K49" s="6">
        <f>VLOOKUP(B49,'75 - Summary Exhibit'!A:N,9,FALSE)</f>
        <v>0</v>
      </c>
      <c r="L49" s="6">
        <f>VLOOKUP(B49,'75 - Summary Exhibit'!A:N,10,FALSE)</f>
        <v>4481763</v>
      </c>
      <c r="M49" s="6">
        <f>VLOOKUP(B49,'75 - Summary Exhibit'!A:N,11,FALSE)</f>
        <v>883606</v>
      </c>
      <c r="N49" s="6">
        <f>VLOOKUP(B49,'75 - Summary Exhibit'!A:N,12,FALSE)</f>
        <v>956039</v>
      </c>
      <c r="O49" s="6">
        <f>VLOOKUP(B49,'75 - Summary Exhibit'!A:N,13,FALSE)</f>
        <v>-60198</v>
      </c>
      <c r="P49" s="6">
        <f t="shared" si="13"/>
        <v>895841</v>
      </c>
      <c r="Q49" s="6">
        <f>VLOOKUP(B49,'75- Deferred Amortization'!A:G,3,FALSE)</f>
        <v>-256419</v>
      </c>
      <c r="R49" s="6">
        <f>VLOOKUP(B49,'75- Deferred Amortization'!A:G,4,FALSE)</f>
        <v>659948</v>
      </c>
      <c r="S49" s="6">
        <f>VLOOKUP(B49,'75- Deferred Amortization'!A:G,5,FALSE)</f>
        <v>2442383</v>
      </c>
      <c r="T49" s="6">
        <f>VLOOKUP(B49,'75- Deferred Amortization'!A:G,6,FALSE)</f>
        <v>1925999</v>
      </c>
      <c r="U49" s="6">
        <f>VLOOKUP(B49,'75- Deferred Amortization'!A:G,7,FALSE)</f>
        <v>0</v>
      </c>
      <c r="V49" s="6">
        <f t="shared" si="14"/>
        <v>0</v>
      </c>
      <c r="W49" s="6">
        <f t="shared" si="15"/>
        <v>-1</v>
      </c>
      <c r="X49">
        <v>2</v>
      </c>
      <c r="Z49" s="205">
        <f>VLOOKUP(B49,'Noncap Contr Alloc'!A:C,3,FALSE)</f>
        <v>10458</v>
      </c>
      <c r="AC49" s="9">
        <v>25604593</v>
      </c>
      <c r="AD49" s="9">
        <v>281957</v>
      </c>
      <c r="AE49" s="9">
        <v>204543</v>
      </c>
      <c r="AF49" s="9">
        <v>2773757</v>
      </c>
      <c r="AG49" s="6">
        <v>284718</v>
      </c>
      <c r="AH49" s="6">
        <v>25087</v>
      </c>
      <c r="AI49" s="6">
        <v>0</v>
      </c>
      <c r="AJ49" s="6">
        <v>6831099</v>
      </c>
      <c r="AK49" s="6">
        <v>1330754</v>
      </c>
      <c r="AM49" s="6">
        <f t="shared" si="16"/>
        <v>1146247</v>
      </c>
      <c r="AN49" s="6">
        <f t="shared" si="17"/>
        <v>-447148</v>
      </c>
      <c r="AO49" s="9">
        <f t="shared" si="18"/>
        <v>-1783</v>
      </c>
      <c r="AP49" s="6">
        <f t="shared" si="19"/>
        <v>-25087</v>
      </c>
      <c r="AQ49" s="9">
        <f t="shared" si="20"/>
        <v>5505082</v>
      </c>
      <c r="AR49" s="6">
        <f t="shared" si="21"/>
        <v>-2349336</v>
      </c>
      <c r="AS49" s="9">
        <f t="shared" si="22"/>
        <v>8770139</v>
      </c>
      <c r="AT49" s="9">
        <f t="shared" si="23"/>
        <v>-57242</v>
      </c>
      <c r="AU49" s="6">
        <f t="shared" si="24"/>
        <v>0</v>
      </c>
      <c r="AV49" s="238">
        <f t="shared" si="12"/>
        <v>34374732</v>
      </c>
    </row>
    <row r="50" spans="1:48" x14ac:dyDescent="0.25">
      <c r="A50" t="s">
        <v>84</v>
      </c>
      <c r="B50">
        <v>35405</v>
      </c>
      <c r="C50" s="6">
        <f>VLOOKUP(B50,'ER Contributions'!A:D,4,FALSE)</f>
        <v>1034103</v>
      </c>
      <c r="D50" s="7">
        <f>VLOOKUP(B50,'ER Contributions'!A:D,3,FALSE)</f>
        <v>7.4359999999999997E-4</v>
      </c>
      <c r="E50" s="9">
        <f>VLOOKUP(B50,'75 - Summary Exhibit'!A:N,3,FALSE)</f>
        <v>25293408</v>
      </c>
      <c r="F50" s="9">
        <f>VLOOKUP(B50,'75 - Summary Exhibit'!A:N,4,FALSE)</f>
        <v>206156</v>
      </c>
      <c r="G50" s="9">
        <f>VLOOKUP(B50,'75 - Summary Exhibit'!A:N,5,FALSE)</f>
        <v>108386</v>
      </c>
      <c r="H50" s="9">
        <f>VLOOKUP(B50,'75 - Summary Exhibit'!A:N,6,FALSE)</f>
        <v>6091685</v>
      </c>
      <c r="I50" s="6">
        <f>VLOOKUP(B50,'75 - Summary Exhibit'!A:N,7,FALSE)</f>
        <v>484387</v>
      </c>
      <c r="J50" s="6">
        <f>VLOOKUP(B50,'75 - Summary Exhibit'!A:N,8,FALSE)</f>
        <v>0</v>
      </c>
      <c r="K50" s="6">
        <f>VLOOKUP(B50,'75 - Summary Exhibit'!A:N,9,FALSE)</f>
        <v>0</v>
      </c>
      <c r="L50" s="6">
        <f>VLOOKUP(B50,'75 - Summary Exhibit'!A:N,10,FALSE)</f>
        <v>3297744</v>
      </c>
      <c r="M50" s="6">
        <f>VLOOKUP(B50,'75 - Summary Exhibit'!A:N,11,FALSE)</f>
        <v>1558529</v>
      </c>
      <c r="N50" s="6">
        <f>VLOOKUP(B50,'75 - Summary Exhibit'!A:N,12,FALSE)</f>
        <v>703465</v>
      </c>
      <c r="O50" s="6">
        <f>VLOOKUP(B50,'75 - Summary Exhibit'!A:N,13,FALSE)</f>
        <v>-946468</v>
      </c>
      <c r="P50" s="6">
        <f t="shared" si="13"/>
        <v>-243003</v>
      </c>
      <c r="Q50" s="6">
        <f>VLOOKUP(B50,'75- Deferred Amortization'!A:G,3,FALSE)</f>
        <v>-818393</v>
      </c>
      <c r="R50" s="6">
        <f>VLOOKUP(B50,'75- Deferred Amortization'!A:G,4,FALSE)</f>
        <v>90641</v>
      </c>
      <c r="S50" s="6">
        <f>VLOOKUP(B50,'75- Deferred Amortization'!A:G,5,FALSE)</f>
        <v>1484205</v>
      </c>
      <c r="T50" s="6">
        <f>VLOOKUP(B50,'75- Deferred Amortization'!A:G,6,FALSE)</f>
        <v>1277888</v>
      </c>
      <c r="U50" s="6">
        <f>VLOOKUP(B50,'75- Deferred Amortization'!A:G,7,FALSE)</f>
        <v>0</v>
      </c>
      <c r="V50" s="6">
        <f t="shared" si="14"/>
        <v>-2</v>
      </c>
      <c r="W50" s="6">
        <f t="shared" si="15"/>
        <v>0</v>
      </c>
      <c r="X50">
        <v>2</v>
      </c>
      <c r="Z50" s="205">
        <f>VLOOKUP(B50,'Noncap Contr Alloc'!A:C,3,FALSE)</f>
        <v>7695</v>
      </c>
      <c r="AC50" s="9">
        <v>19371061</v>
      </c>
      <c r="AD50" s="9">
        <v>213313</v>
      </c>
      <c r="AE50" s="9">
        <v>154746</v>
      </c>
      <c r="AF50" s="9">
        <v>2098476</v>
      </c>
      <c r="AG50" s="6">
        <v>208533</v>
      </c>
      <c r="AH50" s="6">
        <v>18980</v>
      </c>
      <c r="AI50" s="6">
        <v>0</v>
      </c>
      <c r="AJ50" s="6">
        <v>5168043</v>
      </c>
      <c r="AK50" s="6">
        <v>2660850</v>
      </c>
      <c r="AM50" s="6">
        <f t="shared" si="16"/>
        <v>275854</v>
      </c>
      <c r="AN50" s="6">
        <f t="shared" si="17"/>
        <v>-1102321</v>
      </c>
      <c r="AO50" s="9">
        <f t="shared" si="18"/>
        <v>-7157</v>
      </c>
      <c r="AP50" s="6">
        <f t="shared" si="19"/>
        <v>-18980</v>
      </c>
      <c r="AQ50" s="9">
        <f t="shared" si="20"/>
        <v>3993209</v>
      </c>
      <c r="AR50" s="6">
        <f t="shared" si="21"/>
        <v>-1870299</v>
      </c>
      <c r="AS50" s="9">
        <f t="shared" si="22"/>
        <v>5922347</v>
      </c>
      <c r="AT50" s="9">
        <f t="shared" si="23"/>
        <v>-46360</v>
      </c>
      <c r="AU50" s="6">
        <f t="shared" si="24"/>
        <v>0</v>
      </c>
      <c r="AV50" s="238">
        <f t="shared" si="12"/>
        <v>25293408</v>
      </c>
    </row>
    <row r="51" spans="1:48" x14ac:dyDescent="0.25">
      <c r="A51" t="s">
        <v>85</v>
      </c>
      <c r="B51">
        <v>35805</v>
      </c>
      <c r="C51" s="6">
        <f>VLOOKUP(B51,'ER Contributions'!A:D,4,FALSE)</f>
        <v>356479</v>
      </c>
      <c r="D51" s="7">
        <f>VLOOKUP(B51,'ER Contributions'!A:D,3,FALSE)</f>
        <v>2.1039999999999999E-4</v>
      </c>
      <c r="E51" s="9">
        <f>VLOOKUP(B51,'75 - Summary Exhibit'!A:N,3,FALSE)</f>
        <v>7155433</v>
      </c>
      <c r="F51" s="9">
        <f>VLOOKUP(B51,'75 - Summary Exhibit'!A:N,4,FALSE)</f>
        <v>58321</v>
      </c>
      <c r="G51" s="9">
        <f>VLOOKUP(B51,'75 - Summary Exhibit'!A:N,5,FALSE)</f>
        <v>30662</v>
      </c>
      <c r="H51" s="9">
        <f>VLOOKUP(B51,'75 - Summary Exhibit'!A:N,6,FALSE)</f>
        <v>1723320</v>
      </c>
      <c r="I51" s="6">
        <f>VLOOKUP(B51,'75 - Summary Exhibit'!A:N,7,FALSE)</f>
        <v>369008</v>
      </c>
      <c r="J51" s="6">
        <f>VLOOKUP(B51,'75 - Summary Exhibit'!A:N,8,FALSE)</f>
        <v>0</v>
      </c>
      <c r="K51" s="6">
        <f>VLOOKUP(B51,'75 - Summary Exhibit'!A:N,9,FALSE)</f>
        <v>0</v>
      </c>
      <c r="L51" s="6">
        <f>VLOOKUP(B51,'75 - Summary Exhibit'!A:N,10,FALSE)</f>
        <v>932922</v>
      </c>
      <c r="M51" s="6">
        <f>VLOOKUP(B51,'75 - Summary Exhibit'!A:N,11,FALSE)</f>
        <v>353115</v>
      </c>
      <c r="N51" s="6">
        <f>VLOOKUP(B51,'75 - Summary Exhibit'!A:N,12,FALSE)</f>
        <v>199008</v>
      </c>
      <c r="O51" s="6">
        <f>VLOOKUP(B51,'75 - Summary Exhibit'!A:N,13,FALSE)</f>
        <v>35628</v>
      </c>
      <c r="P51" s="6">
        <f t="shared" si="13"/>
        <v>234636</v>
      </c>
      <c r="Q51" s="6">
        <f>VLOOKUP(B51,'75- Deferred Amortization'!A:G,3,FALSE)</f>
        <v>-93043</v>
      </c>
      <c r="R51" s="6">
        <f>VLOOKUP(B51,'75- Deferred Amortization'!A:G,4,FALSE)</f>
        <v>122242</v>
      </c>
      <c r="S51" s="6">
        <f>VLOOKUP(B51,'75- Deferred Amortization'!A:G,5,FALSE)</f>
        <v>436738</v>
      </c>
      <c r="T51" s="6">
        <f>VLOOKUP(B51,'75- Deferred Amortization'!A:G,6,FALSE)</f>
        <v>429337</v>
      </c>
      <c r="U51" s="6">
        <f>VLOOKUP(B51,'75- Deferred Amortization'!A:G,7,FALSE)</f>
        <v>0</v>
      </c>
      <c r="V51" s="6">
        <f t="shared" si="14"/>
        <v>0</v>
      </c>
      <c r="W51" s="6">
        <f t="shared" si="15"/>
        <v>0</v>
      </c>
      <c r="X51">
        <v>2</v>
      </c>
      <c r="Z51" s="205">
        <f>VLOOKUP(B51,'Noncap Contr Alloc'!A:C,3,FALSE)</f>
        <v>2177</v>
      </c>
      <c r="AC51" s="9">
        <v>5238708</v>
      </c>
      <c r="AD51" s="9">
        <v>57688</v>
      </c>
      <c r="AE51" s="9">
        <v>41849</v>
      </c>
      <c r="AF51" s="9">
        <v>567512</v>
      </c>
      <c r="AG51" s="6">
        <v>86709</v>
      </c>
      <c r="AH51" s="6">
        <v>5133</v>
      </c>
      <c r="AI51" s="6">
        <v>0</v>
      </c>
      <c r="AJ51" s="6">
        <v>1397645</v>
      </c>
      <c r="AK51" s="6">
        <v>496451</v>
      </c>
      <c r="AM51" s="6">
        <f t="shared" si="16"/>
        <v>282299</v>
      </c>
      <c r="AN51" s="6">
        <f t="shared" si="17"/>
        <v>-143336</v>
      </c>
      <c r="AO51" s="9">
        <f t="shared" si="18"/>
        <v>633</v>
      </c>
      <c r="AP51" s="6">
        <f t="shared" si="19"/>
        <v>-5133</v>
      </c>
      <c r="AQ51" s="9">
        <f t="shared" si="20"/>
        <v>1155808</v>
      </c>
      <c r="AR51" s="6">
        <f t="shared" si="21"/>
        <v>-464723</v>
      </c>
      <c r="AS51" s="9">
        <f t="shared" si="22"/>
        <v>1916725</v>
      </c>
      <c r="AT51" s="9">
        <f t="shared" si="23"/>
        <v>-11187</v>
      </c>
      <c r="AU51" s="6">
        <f t="shared" si="24"/>
        <v>0</v>
      </c>
      <c r="AV51" s="238">
        <f t="shared" si="12"/>
        <v>7155433</v>
      </c>
    </row>
    <row r="52" spans="1:48" x14ac:dyDescent="0.25">
      <c r="A52" t="s">
        <v>88</v>
      </c>
      <c r="B52">
        <v>36105</v>
      </c>
      <c r="C52" s="6">
        <f>VLOOKUP(B52,'ER Contributions'!A:D,4,FALSE)</f>
        <v>447849</v>
      </c>
      <c r="D52" s="7">
        <f>VLOOKUP(B52,'ER Contributions'!A:D,3,FALSE)</f>
        <v>2.786E-4</v>
      </c>
      <c r="E52" s="9">
        <f>VLOOKUP(B52,'75 - Summary Exhibit'!A:N,3,FALSE)</f>
        <v>9476969</v>
      </c>
      <c r="F52" s="9">
        <f>VLOOKUP(B52,'75 - Summary Exhibit'!A:N,4,FALSE)</f>
        <v>77243</v>
      </c>
      <c r="G52" s="9">
        <f>VLOOKUP(B52,'75 - Summary Exhibit'!A:N,5,FALSE)</f>
        <v>40610</v>
      </c>
      <c r="H52" s="9">
        <f>VLOOKUP(B52,'75 - Summary Exhibit'!A:N,6,FALSE)</f>
        <v>2282441</v>
      </c>
      <c r="I52" s="6">
        <f>VLOOKUP(B52,'75 - Summary Exhibit'!A:N,7,FALSE)</f>
        <v>255857</v>
      </c>
      <c r="J52" s="6">
        <f>VLOOKUP(B52,'75 - Summary Exhibit'!A:N,8,FALSE)</f>
        <v>0</v>
      </c>
      <c r="K52" s="6">
        <f>VLOOKUP(B52,'75 - Summary Exhibit'!A:N,9,FALSE)</f>
        <v>0</v>
      </c>
      <c r="L52" s="6">
        <f>VLOOKUP(B52,'75 - Summary Exhibit'!A:N,10,FALSE)</f>
        <v>1235603</v>
      </c>
      <c r="M52" s="6">
        <f>VLOOKUP(B52,'75 - Summary Exhibit'!A:N,11,FALSE)</f>
        <v>738414</v>
      </c>
      <c r="N52" s="6">
        <f>VLOOKUP(B52,'75 - Summary Exhibit'!A:N,12,FALSE)</f>
        <v>263575</v>
      </c>
      <c r="O52" s="6">
        <f>VLOOKUP(B52,'75 - Summary Exhibit'!A:N,13,FALSE)</f>
        <v>-425125</v>
      </c>
      <c r="P52" s="6">
        <f t="shared" si="13"/>
        <v>-161550</v>
      </c>
      <c r="Q52" s="6">
        <f>VLOOKUP(B52,'75- Deferred Amortization'!A:G,3,FALSE)</f>
        <v>-238984</v>
      </c>
      <c r="R52" s="6">
        <f>VLOOKUP(B52,'75- Deferred Amortization'!A:G,4,FALSE)</f>
        <v>-55522</v>
      </c>
      <c r="S52" s="6">
        <f>VLOOKUP(B52,'75- Deferred Amortization'!A:G,5,FALSE)</f>
        <v>581223</v>
      </c>
      <c r="T52" s="6">
        <f>VLOOKUP(B52,'75- Deferred Amortization'!A:G,6,FALSE)</f>
        <v>395416</v>
      </c>
      <c r="U52" s="6">
        <f>VLOOKUP(B52,'75- Deferred Amortization'!A:G,7,FALSE)</f>
        <v>0</v>
      </c>
      <c r="V52" s="6">
        <f t="shared" si="14"/>
        <v>-1</v>
      </c>
      <c r="W52" s="6">
        <f t="shared" si="15"/>
        <v>1</v>
      </c>
      <c r="X52">
        <v>2</v>
      </c>
      <c r="Z52" s="205">
        <f>VLOOKUP(B52,'Noncap Contr Alloc'!A:C,3,FALSE)</f>
        <v>2883</v>
      </c>
      <c r="AC52" s="9">
        <v>7676508</v>
      </c>
      <c r="AD52" s="9">
        <v>84533</v>
      </c>
      <c r="AE52" s="9">
        <v>61324</v>
      </c>
      <c r="AF52" s="9">
        <v>831599</v>
      </c>
      <c r="AG52" s="6">
        <v>390618</v>
      </c>
      <c r="AH52" s="6">
        <v>7521</v>
      </c>
      <c r="AI52" s="6">
        <v>0</v>
      </c>
      <c r="AJ52" s="6">
        <v>2048030</v>
      </c>
      <c r="AK52" s="6">
        <v>1043131</v>
      </c>
      <c r="AM52" s="6">
        <f t="shared" si="16"/>
        <v>-134761</v>
      </c>
      <c r="AN52" s="6">
        <f t="shared" si="17"/>
        <v>-304717</v>
      </c>
      <c r="AO52" s="9">
        <f t="shared" si="18"/>
        <v>-7290</v>
      </c>
      <c r="AP52" s="6">
        <f t="shared" si="19"/>
        <v>-7521</v>
      </c>
      <c r="AQ52" s="9">
        <f t="shared" si="20"/>
        <v>1450842</v>
      </c>
      <c r="AR52" s="6">
        <f t="shared" si="21"/>
        <v>-812427</v>
      </c>
      <c r="AS52" s="9">
        <f t="shared" si="22"/>
        <v>1800461</v>
      </c>
      <c r="AT52" s="9">
        <f t="shared" si="23"/>
        <v>-20714</v>
      </c>
      <c r="AU52" s="6">
        <f t="shared" si="24"/>
        <v>0</v>
      </c>
      <c r="AV52" s="238">
        <f t="shared" si="12"/>
        <v>9476969</v>
      </c>
    </row>
    <row r="53" spans="1:48" x14ac:dyDescent="0.25">
      <c r="A53" t="s">
        <v>86</v>
      </c>
      <c r="B53">
        <v>35905</v>
      </c>
      <c r="C53" s="6">
        <f>VLOOKUP(B53,'ER Contributions'!A:D,4,FALSE)</f>
        <v>498347</v>
      </c>
      <c r="D53" s="7">
        <f>VLOOKUP(B53,'ER Contributions'!A:D,3,FALSE)</f>
        <v>3.1100000000000002E-4</v>
      </c>
      <c r="E53" s="9">
        <f>VLOOKUP(B53,'75 - Summary Exhibit'!A:N,3,FALSE)</f>
        <v>10578300</v>
      </c>
      <c r="F53" s="9">
        <f>VLOOKUP(B53,'75 - Summary Exhibit'!A:N,4,FALSE)</f>
        <v>86219</v>
      </c>
      <c r="G53" s="9">
        <f>VLOOKUP(B53,'75 - Summary Exhibit'!A:N,5,FALSE)</f>
        <v>45330</v>
      </c>
      <c r="H53" s="9">
        <f>VLOOKUP(B53,'75 - Summary Exhibit'!A:N,6,FALSE)</f>
        <v>2547686</v>
      </c>
      <c r="I53" s="6">
        <f>VLOOKUP(B53,'75 - Summary Exhibit'!A:N,7,FALSE)</f>
        <v>1796443</v>
      </c>
      <c r="J53" s="6">
        <f>VLOOKUP(B53,'75 - Summary Exhibit'!A:N,8,FALSE)</f>
        <v>0</v>
      </c>
      <c r="K53" s="6">
        <f>VLOOKUP(B53,'75 - Summary Exhibit'!A:N,9,FALSE)</f>
        <v>0</v>
      </c>
      <c r="L53" s="6">
        <f>VLOOKUP(B53,'75 - Summary Exhibit'!A:N,10,FALSE)</f>
        <v>1379194</v>
      </c>
      <c r="M53" s="6">
        <f>VLOOKUP(B53,'75 - Summary Exhibit'!A:N,11,FALSE)</f>
        <v>166177</v>
      </c>
      <c r="N53" s="6">
        <f>VLOOKUP(B53,'75 - Summary Exhibit'!A:N,12,FALSE)</f>
        <v>294207</v>
      </c>
      <c r="O53" s="6">
        <f>VLOOKUP(B53,'75 - Summary Exhibit'!A:N,13,FALSE)</f>
        <v>332967</v>
      </c>
      <c r="P53" s="6">
        <f t="shared" si="13"/>
        <v>627174</v>
      </c>
      <c r="Q53" s="6">
        <f>VLOOKUP(B53,'75- Deferred Amortization'!A:G,3,FALSE)</f>
        <v>427414</v>
      </c>
      <c r="R53" s="6">
        <f>VLOOKUP(B53,'75- Deferred Amortization'!A:G,4,FALSE)</f>
        <v>881211</v>
      </c>
      <c r="S53" s="6">
        <f>VLOOKUP(B53,'75- Deferred Amortization'!A:G,5,FALSE)</f>
        <v>1087926</v>
      </c>
      <c r="T53" s="6">
        <f>VLOOKUP(B53,'75- Deferred Amortization'!A:G,6,FALSE)</f>
        <v>533757</v>
      </c>
      <c r="U53" s="6">
        <f>VLOOKUP(B53,'75- Deferred Amortization'!A:G,7,FALSE)</f>
        <v>0</v>
      </c>
      <c r="V53" s="6">
        <f t="shared" si="14"/>
        <v>2</v>
      </c>
      <c r="W53" s="6">
        <f t="shared" si="15"/>
        <v>-1</v>
      </c>
      <c r="X53">
        <v>2</v>
      </c>
      <c r="Z53" s="205">
        <f>VLOOKUP(B53,'Noncap Contr Alloc'!A:C,3,FALSE)</f>
        <v>3218</v>
      </c>
      <c r="AC53" s="9">
        <v>8162197</v>
      </c>
      <c r="AD53" s="9">
        <v>89882</v>
      </c>
      <c r="AE53" s="9">
        <v>65204</v>
      </c>
      <c r="AF53" s="9">
        <v>884214</v>
      </c>
      <c r="AG53" s="6">
        <v>2274944</v>
      </c>
      <c r="AH53" s="6">
        <v>7997</v>
      </c>
      <c r="AI53" s="6">
        <v>0</v>
      </c>
      <c r="AJ53" s="6">
        <v>2177608</v>
      </c>
      <c r="AK53" s="6">
        <v>488828</v>
      </c>
      <c r="AM53" s="6">
        <f t="shared" si="16"/>
        <v>-478501</v>
      </c>
      <c r="AN53" s="6">
        <f t="shared" si="17"/>
        <v>-322651</v>
      </c>
      <c r="AO53" s="9">
        <f t="shared" si="18"/>
        <v>-3663</v>
      </c>
      <c r="AP53" s="6">
        <f t="shared" si="19"/>
        <v>-7997</v>
      </c>
      <c r="AQ53" s="9">
        <f t="shared" si="20"/>
        <v>1663472</v>
      </c>
      <c r="AR53" s="6">
        <f t="shared" si="21"/>
        <v>-798414</v>
      </c>
      <c r="AS53" s="9">
        <f t="shared" si="22"/>
        <v>2416103</v>
      </c>
      <c r="AT53" s="9">
        <f t="shared" si="23"/>
        <v>-19874</v>
      </c>
      <c r="AU53" s="6">
        <f t="shared" si="24"/>
        <v>0</v>
      </c>
      <c r="AV53" s="238">
        <f t="shared" si="12"/>
        <v>10578300</v>
      </c>
    </row>
    <row r="54" spans="1:48" x14ac:dyDescent="0.25">
      <c r="A54" t="s">
        <v>80</v>
      </c>
      <c r="B54">
        <v>34905</v>
      </c>
      <c r="C54" s="6">
        <f>VLOOKUP(B54,'ER Contributions'!A:D,4,FALSE)</f>
        <v>873907</v>
      </c>
      <c r="D54" s="7">
        <f>VLOOKUP(B54,'ER Contributions'!A:D,3,FALSE)</f>
        <v>5.8129999999999998E-4</v>
      </c>
      <c r="E54" s="9">
        <f>VLOOKUP(B54,'75 - Summary Exhibit'!A:N,3,FALSE)</f>
        <v>19772454</v>
      </c>
      <c r="F54" s="9">
        <f>VLOOKUP(B54,'75 - Summary Exhibit'!A:N,4,FALSE)</f>
        <v>161157</v>
      </c>
      <c r="G54" s="9">
        <f>VLOOKUP(B54,'75 - Summary Exhibit'!A:N,5,FALSE)</f>
        <v>84728</v>
      </c>
      <c r="H54" s="9">
        <f>VLOOKUP(B54,'75 - Summary Exhibit'!A:N,6,FALSE)</f>
        <v>4762014</v>
      </c>
      <c r="I54" s="6">
        <f>VLOOKUP(B54,'75 - Summary Exhibit'!A:N,7,FALSE)</f>
        <v>501846</v>
      </c>
      <c r="J54" s="6">
        <f>VLOOKUP(B54,'75 - Summary Exhibit'!A:N,8,FALSE)</f>
        <v>0</v>
      </c>
      <c r="K54" s="6">
        <f>VLOOKUP(B54,'75 - Summary Exhibit'!A:N,9,FALSE)</f>
        <v>0</v>
      </c>
      <c r="L54" s="6">
        <f>VLOOKUP(B54,'75 - Summary Exhibit'!A:N,10,FALSE)</f>
        <v>2577924</v>
      </c>
      <c r="M54" s="6">
        <f>VLOOKUP(B54,'75 - Summary Exhibit'!A:N,11,FALSE)</f>
        <v>605382</v>
      </c>
      <c r="N54" s="6">
        <f>VLOOKUP(B54,'75 - Summary Exhibit'!A:N,12,FALSE)</f>
        <v>549915</v>
      </c>
      <c r="O54" s="6">
        <f>VLOOKUP(B54,'75 - Summary Exhibit'!A:N,13,FALSE)</f>
        <v>-86198</v>
      </c>
      <c r="P54" s="6">
        <f t="shared" si="13"/>
        <v>463717</v>
      </c>
      <c r="Q54" s="6">
        <f>VLOOKUP(B54,'75- Deferred Amortization'!A:G,3,FALSE)</f>
        <v>-154868</v>
      </c>
      <c r="R54" s="6">
        <f>VLOOKUP(B54,'75- Deferred Amortization'!A:G,4,FALSE)</f>
        <v>348341</v>
      </c>
      <c r="S54" s="6">
        <f>VLOOKUP(B54,'75- Deferred Amortization'!A:G,5,FALSE)</f>
        <v>1275060</v>
      </c>
      <c r="T54" s="6">
        <f>VLOOKUP(B54,'75- Deferred Amortization'!A:G,6,FALSE)</f>
        <v>857906</v>
      </c>
      <c r="U54" s="6">
        <f>VLOOKUP(B54,'75- Deferred Amortization'!A:G,7,FALSE)</f>
        <v>0</v>
      </c>
      <c r="V54" s="6">
        <f t="shared" si="14"/>
        <v>-1</v>
      </c>
      <c r="W54" s="6">
        <f t="shared" si="15"/>
        <v>0</v>
      </c>
      <c r="X54">
        <v>2</v>
      </c>
      <c r="Z54" s="205">
        <f>VLOOKUP(B54,'Noncap Contr Alloc'!A:C,3,FALSE)</f>
        <v>6015</v>
      </c>
      <c r="AC54" s="9">
        <v>15818669</v>
      </c>
      <c r="AD54" s="9">
        <v>174195</v>
      </c>
      <c r="AE54" s="9">
        <v>126368</v>
      </c>
      <c r="AF54" s="9">
        <v>1713643</v>
      </c>
      <c r="AG54" s="6">
        <v>692058</v>
      </c>
      <c r="AH54" s="6">
        <v>15499</v>
      </c>
      <c r="AI54" s="6">
        <v>0</v>
      </c>
      <c r="AJ54" s="6">
        <v>4220293</v>
      </c>
      <c r="AK54" s="6">
        <v>514022</v>
      </c>
      <c r="AM54" s="6">
        <f t="shared" si="16"/>
        <v>-190212</v>
      </c>
      <c r="AN54" s="6">
        <f t="shared" si="17"/>
        <v>91360</v>
      </c>
      <c r="AO54" s="9">
        <f t="shared" si="18"/>
        <v>-13038</v>
      </c>
      <c r="AP54" s="6">
        <f t="shared" si="19"/>
        <v>-15499</v>
      </c>
      <c r="AQ54" s="9">
        <f t="shared" si="20"/>
        <v>3048371</v>
      </c>
      <c r="AR54" s="6">
        <f t="shared" si="21"/>
        <v>-1642369</v>
      </c>
      <c r="AS54" s="9">
        <f t="shared" si="22"/>
        <v>3953785</v>
      </c>
      <c r="AT54" s="9">
        <f t="shared" si="23"/>
        <v>-41640</v>
      </c>
      <c r="AU54" s="6">
        <f t="shared" si="24"/>
        <v>0</v>
      </c>
      <c r="AV54" s="238">
        <f t="shared" si="12"/>
        <v>19772454</v>
      </c>
    </row>
    <row r="55" spans="1:48" x14ac:dyDescent="0.25">
      <c r="A55" t="s">
        <v>89</v>
      </c>
      <c r="B55">
        <v>36205</v>
      </c>
      <c r="C55" s="6">
        <f>VLOOKUP(B55,'ER Contributions'!A:D,4,FALSE)</f>
        <v>403146</v>
      </c>
      <c r="D55" s="7">
        <f>VLOOKUP(B55,'ER Contributions'!A:D,3,FALSE)</f>
        <v>2.543E-4</v>
      </c>
      <c r="E55" s="9">
        <f>VLOOKUP(B55,'75 - Summary Exhibit'!A:N,3,FALSE)</f>
        <v>8649871</v>
      </c>
      <c r="F55" s="9">
        <f>VLOOKUP(B55,'75 - Summary Exhibit'!A:N,4,FALSE)</f>
        <v>70501</v>
      </c>
      <c r="G55" s="9">
        <f>VLOOKUP(B55,'75 - Summary Exhibit'!A:N,5,FALSE)</f>
        <v>37066</v>
      </c>
      <c r="H55" s="9">
        <f>VLOOKUP(B55,'75 - Summary Exhibit'!A:N,6,FALSE)</f>
        <v>2083242</v>
      </c>
      <c r="I55" s="6">
        <f>VLOOKUP(B55,'75 - Summary Exhibit'!A:N,7,FALSE)</f>
        <v>409317</v>
      </c>
      <c r="J55" s="6">
        <f>VLOOKUP(B55,'75 - Summary Exhibit'!A:N,8,FALSE)</f>
        <v>0</v>
      </c>
      <c r="K55" s="6">
        <f>VLOOKUP(B55,'75 - Summary Exhibit'!A:N,9,FALSE)</f>
        <v>0</v>
      </c>
      <c r="L55" s="6">
        <f>VLOOKUP(B55,'75 - Summary Exhibit'!A:N,10,FALSE)</f>
        <v>1127767</v>
      </c>
      <c r="M55" s="6">
        <f>VLOOKUP(B55,'75 - Summary Exhibit'!A:N,11,FALSE)</f>
        <v>450602</v>
      </c>
      <c r="N55" s="6">
        <f>VLOOKUP(B55,'75 - Summary Exhibit'!A:N,12,FALSE)</f>
        <v>240573</v>
      </c>
      <c r="O55" s="6">
        <f>VLOOKUP(B55,'75 - Summary Exhibit'!A:N,13,FALSE)</f>
        <v>33460</v>
      </c>
      <c r="P55" s="6">
        <f t="shared" si="13"/>
        <v>274033</v>
      </c>
      <c r="Q55" s="6">
        <f>VLOOKUP(B55,'75- Deferred Amortization'!A:G,3,FALSE)</f>
        <v>-64618</v>
      </c>
      <c r="R55" s="6">
        <f>VLOOKUP(B55,'75- Deferred Amortization'!A:G,4,FALSE)</f>
        <v>108944</v>
      </c>
      <c r="S55" s="6">
        <f>VLOOKUP(B55,'75- Deferred Amortization'!A:G,5,FALSE)</f>
        <v>483023</v>
      </c>
      <c r="T55" s="6">
        <f>VLOOKUP(B55,'75- Deferred Amortization'!A:G,6,FALSE)</f>
        <v>494410</v>
      </c>
      <c r="U55" s="6">
        <f>VLOOKUP(B55,'75- Deferred Amortization'!A:G,7,FALSE)</f>
        <v>0</v>
      </c>
      <c r="V55" s="6">
        <f t="shared" si="14"/>
        <v>0</v>
      </c>
      <c r="W55" s="6">
        <f t="shared" si="15"/>
        <v>-2</v>
      </c>
      <c r="X55">
        <v>2</v>
      </c>
      <c r="Z55" s="205">
        <f>VLOOKUP(B55,'Noncap Contr Alloc'!A:C,3,FALSE)</f>
        <v>2632</v>
      </c>
      <c r="AC55" s="9">
        <v>6416309</v>
      </c>
      <c r="AD55" s="9">
        <v>70656</v>
      </c>
      <c r="AE55" s="9">
        <v>51257</v>
      </c>
      <c r="AF55" s="9">
        <v>695082</v>
      </c>
      <c r="AG55" s="6">
        <v>170607</v>
      </c>
      <c r="AH55" s="6">
        <v>6287</v>
      </c>
      <c r="AI55" s="6">
        <v>0</v>
      </c>
      <c r="AJ55" s="6">
        <v>1711819</v>
      </c>
      <c r="AK55" s="6">
        <v>613046</v>
      </c>
      <c r="AM55" s="6">
        <f t="shared" si="16"/>
        <v>238710</v>
      </c>
      <c r="AN55" s="6">
        <f t="shared" si="17"/>
        <v>-162444</v>
      </c>
      <c r="AO55" s="9">
        <f t="shared" si="18"/>
        <v>-155</v>
      </c>
      <c r="AP55" s="6">
        <f t="shared" si="19"/>
        <v>-6287</v>
      </c>
      <c r="AQ55" s="9">
        <f t="shared" si="20"/>
        <v>1388160</v>
      </c>
      <c r="AR55" s="6">
        <f t="shared" si="21"/>
        <v>-584052</v>
      </c>
      <c r="AS55" s="9">
        <f t="shared" si="22"/>
        <v>2233562</v>
      </c>
      <c r="AT55" s="9">
        <f t="shared" si="23"/>
        <v>-14191</v>
      </c>
      <c r="AU55" s="6">
        <f t="shared" si="24"/>
        <v>0</v>
      </c>
      <c r="AV55" s="238">
        <f t="shared" si="12"/>
        <v>8649871</v>
      </c>
    </row>
    <row r="56" spans="1:48" x14ac:dyDescent="0.25">
      <c r="A56" t="s">
        <v>91</v>
      </c>
      <c r="B56">
        <v>36405</v>
      </c>
      <c r="C56" s="6">
        <f>VLOOKUP(B56,'ER Contributions'!A:D,4,FALSE)</f>
        <v>943361</v>
      </c>
      <c r="D56" s="7">
        <f>VLOOKUP(B56,'ER Contributions'!A:D,3,FALSE)</f>
        <v>5.8390000000000004E-4</v>
      </c>
      <c r="E56" s="9">
        <f>VLOOKUP(B56,'75 - Summary Exhibit'!A:N,3,FALSE)</f>
        <v>19859740</v>
      </c>
      <c r="F56" s="9">
        <f>VLOOKUP(B56,'75 - Summary Exhibit'!A:N,4,FALSE)</f>
        <v>161868</v>
      </c>
      <c r="G56" s="9">
        <f>VLOOKUP(B56,'75 - Summary Exhibit'!A:N,5,FALSE)</f>
        <v>85102</v>
      </c>
      <c r="H56" s="9">
        <f>VLOOKUP(B56,'75 - Summary Exhibit'!A:N,6,FALSE)</f>
        <v>4783036</v>
      </c>
      <c r="I56" s="6">
        <f>VLOOKUP(B56,'75 - Summary Exhibit'!A:N,7,FALSE)</f>
        <v>0</v>
      </c>
      <c r="J56" s="6">
        <f>VLOOKUP(B56,'75 - Summary Exhibit'!A:N,8,FALSE)</f>
        <v>0</v>
      </c>
      <c r="K56" s="6">
        <f>VLOOKUP(B56,'75 - Summary Exhibit'!A:N,9,FALSE)</f>
        <v>0</v>
      </c>
      <c r="L56" s="6">
        <f>VLOOKUP(B56,'75 - Summary Exhibit'!A:N,10,FALSE)</f>
        <v>2589305</v>
      </c>
      <c r="M56" s="6">
        <f>VLOOKUP(B56,'75 - Summary Exhibit'!A:N,11,FALSE)</f>
        <v>2657920</v>
      </c>
      <c r="N56" s="6">
        <f>VLOOKUP(B56,'75 - Summary Exhibit'!A:N,12,FALSE)</f>
        <v>552343</v>
      </c>
      <c r="O56" s="6">
        <f>VLOOKUP(B56,'75 - Summary Exhibit'!A:N,13,FALSE)</f>
        <v>-1500092</v>
      </c>
      <c r="P56" s="6">
        <f t="shared" si="13"/>
        <v>-947749</v>
      </c>
      <c r="Q56" s="6">
        <f>VLOOKUP(B56,'75- Deferred Amortization'!A:G,3,FALSE)</f>
        <v>-1230340</v>
      </c>
      <c r="R56" s="6">
        <f>VLOOKUP(B56,'75- Deferred Amortization'!A:G,4,FALSE)</f>
        <v>-409309</v>
      </c>
      <c r="S56" s="6">
        <f>VLOOKUP(B56,'75- Deferred Amortization'!A:G,5,FALSE)</f>
        <v>819608</v>
      </c>
      <c r="T56" s="6">
        <f>VLOOKUP(B56,'75- Deferred Amortization'!A:G,6,FALSE)</f>
        <v>602823</v>
      </c>
      <c r="U56" s="6">
        <f>VLOOKUP(B56,'75- Deferred Amortization'!A:G,7,FALSE)</f>
        <v>0</v>
      </c>
      <c r="V56" s="6">
        <f t="shared" si="14"/>
        <v>-2</v>
      </c>
      <c r="W56" s="6">
        <f t="shared" si="15"/>
        <v>-1</v>
      </c>
      <c r="X56">
        <v>2</v>
      </c>
      <c r="Z56" s="205">
        <f>VLOOKUP(B56,'Noncap Contr Alloc'!A:C,3,FALSE)</f>
        <v>6042</v>
      </c>
      <c r="AC56" s="9">
        <v>17080976</v>
      </c>
      <c r="AD56" s="9">
        <v>188095</v>
      </c>
      <c r="AE56" s="9">
        <v>136452</v>
      </c>
      <c r="AF56" s="9">
        <v>1850390</v>
      </c>
      <c r="AG56" s="6">
        <v>0</v>
      </c>
      <c r="AH56" s="6">
        <v>16736</v>
      </c>
      <c r="AI56" s="6">
        <v>0</v>
      </c>
      <c r="AJ56" s="6">
        <v>4557067</v>
      </c>
      <c r="AK56" s="6">
        <v>2494267</v>
      </c>
      <c r="AM56" s="6">
        <f t="shared" si="16"/>
        <v>0</v>
      </c>
      <c r="AN56" s="6">
        <f t="shared" si="17"/>
        <v>163653</v>
      </c>
      <c r="AO56" s="9">
        <f t="shared" si="18"/>
        <v>-26227</v>
      </c>
      <c r="AP56" s="6">
        <f t="shared" si="19"/>
        <v>-16736</v>
      </c>
      <c r="AQ56" s="9">
        <f t="shared" si="20"/>
        <v>2932646</v>
      </c>
      <c r="AR56" s="6">
        <f t="shared" si="21"/>
        <v>-1967762</v>
      </c>
      <c r="AS56" s="9">
        <f t="shared" si="22"/>
        <v>2778764</v>
      </c>
      <c r="AT56" s="9">
        <f t="shared" si="23"/>
        <v>-51350</v>
      </c>
      <c r="AU56" s="6">
        <f t="shared" si="24"/>
        <v>0</v>
      </c>
      <c r="AV56" s="238">
        <f t="shared" si="12"/>
        <v>19859740</v>
      </c>
    </row>
    <row r="57" spans="1:48" x14ac:dyDescent="0.25">
      <c r="A57" t="s">
        <v>94</v>
      </c>
      <c r="B57">
        <v>36905</v>
      </c>
      <c r="C57" s="6">
        <f>VLOOKUP(B57,'ER Contributions'!A:D,4,FALSE)</f>
        <v>271970</v>
      </c>
      <c r="D57" s="7">
        <f>VLOOKUP(B57,'ER Contributions'!A:D,3,FALSE)</f>
        <v>1.6890000000000001E-4</v>
      </c>
      <c r="E57" s="9">
        <f>VLOOKUP(B57,'75 - Summary Exhibit'!A:N,3,FALSE)</f>
        <v>5746349</v>
      </c>
      <c r="F57" s="9">
        <f>VLOOKUP(B57,'75 - Summary Exhibit'!A:N,4,FALSE)</f>
        <v>46836</v>
      </c>
      <c r="G57" s="9">
        <f>VLOOKUP(B57,'75 - Summary Exhibit'!A:N,5,FALSE)</f>
        <v>24624</v>
      </c>
      <c r="H57" s="9">
        <f>VLOOKUP(B57,'75 - Summary Exhibit'!A:N,6,FALSE)</f>
        <v>1383955</v>
      </c>
      <c r="I57" s="6">
        <f>VLOOKUP(B57,'75 - Summary Exhibit'!A:N,7,FALSE)</f>
        <v>0</v>
      </c>
      <c r="J57" s="6">
        <f>VLOOKUP(B57,'75 - Summary Exhibit'!A:N,8,FALSE)</f>
        <v>0</v>
      </c>
      <c r="K57" s="6">
        <f>VLOOKUP(B57,'75 - Summary Exhibit'!A:N,9,FALSE)</f>
        <v>0</v>
      </c>
      <c r="L57" s="6">
        <f>VLOOKUP(B57,'75 - Summary Exhibit'!A:N,10,FALSE)</f>
        <v>749207</v>
      </c>
      <c r="M57" s="6">
        <f>VLOOKUP(B57,'75 - Summary Exhibit'!A:N,11,FALSE)</f>
        <v>577973</v>
      </c>
      <c r="N57" s="6">
        <f>VLOOKUP(B57,'75 - Summary Exhibit'!A:N,12,FALSE)</f>
        <v>159818</v>
      </c>
      <c r="O57" s="6">
        <f>VLOOKUP(B57,'75 - Summary Exhibit'!A:N,13,FALSE)</f>
        <v>-119958</v>
      </c>
      <c r="P57" s="6">
        <f t="shared" si="13"/>
        <v>39860</v>
      </c>
      <c r="Q57" s="6">
        <f>VLOOKUP(B57,'75- Deferred Amortization'!A:G,3,FALSE)</f>
        <v>-261093</v>
      </c>
      <c r="R57" s="6">
        <f>VLOOKUP(B57,'75- Deferred Amortization'!A:G,4,FALSE)</f>
        <v>-58049</v>
      </c>
      <c r="S57" s="6">
        <f>VLOOKUP(B57,'75- Deferred Amortization'!A:G,5,FALSE)</f>
        <v>260520</v>
      </c>
      <c r="T57" s="6">
        <f>VLOOKUP(B57,'75- Deferred Amortization'!A:G,6,FALSE)</f>
        <v>186858</v>
      </c>
      <c r="U57" s="6">
        <f>VLOOKUP(B57,'75- Deferred Amortization'!A:G,7,FALSE)</f>
        <v>0</v>
      </c>
      <c r="V57" s="6">
        <f t="shared" si="14"/>
        <v>-2</v>
      </c>
      <c r="W57" s="6">
        <f t="shared" si="15"/>
        <v>-1</v>
      </c>
      <c r="X57">
        <v>2</v>
      </c>
      <c r="Z57" s="205">
        <f>VLOOKUP(B57,'Noncap Contr Alloc'!A:C,3,FALSE)</f>
        <v>1748</v>
      </c>
      <c r="AC57" s="9">
        <v>4886949</v>
      </c>
      <c r="AD57" s="9">
        <v>53815</v>
      </c>
      <c r="AE57" s="9">
        <v>39039</v>
      </c>
      <c r="AF57" s="9">
        <v>529405</v>
      </c>
      <c r="AG57" s="6">
        <v>107441</v>
      </c>
      <c r="AH57" s="6">
        <v>4788</v>
      </c>
      <c r="AI57" s="6">
        <v>0</v>
      </c>
      <c r="AJ57" s="6">
        <v>1303798</v>
      </c>
      <c r="AK57" s="6">
        <v>386135</v>
      </c>
      <c r="AM57" s="6">
        <f t="shared" si="16"/>
        <v>-107441</v>
      </c>
      <c r="AN57" s="6">
        <f t="shared" si="17"/>
        <v>191838</v>
      </c>
      <c r="AO57" s="9">
        <f t="shared" si="18"/>
        <v>-6979</v>
      </c>
      <c r="AP57" s="6">
        <f t="shared" si="19"/>
        <v>-4788</v>
      </c>
      <c r="AQ57" s="9">
        <f t="shared" si="20"/>
        <v>854550</v>
      </c>
      <c r="AR57" s="6">
        <f t="shared" si="21"/>
        <v>-554591</v>
      </c>
      <c r="AS57" s="9">
        <f t="shared" si="22"/>
        <v>859400</v>
      </c>
      <c r="AT57" s="9">
        <f t="shared" si="23"/>
        <v>-14415</v>
      </c>
      <c r="AU57" s="6">
        <f t="shared" si="24"/>
        <v>0</v>
      </c>
      <c r="AV57" s="238">
        <f t="shared" si="12"/>
        <v>5746349</v>
      </c>
    </row>
    <row r="58" spans="1:48" x14ac:dyDescent="0.25">
      <c r="A58" t="s">
        <v>96</v>
      </c>
      <c r="B58">
        <v>37305</v>
      </c>
      <c r="C58" s="6">
        <f>VLOOKUP(B58,'ER Contributions'!A:D,4,FALSE)</f>
        <v>621798</v>
      </c>
      <c r="D58" s="7">
        <f>VLOOKUP(B58,'ER Contributions'!A:D,3,FALSE)</f>
        <v>3.3110000000000002E-4</v>
      </c>
      <c r="E58" s="9">
        <f>VLOOKUP(B58,'75 - Summary Exhibit'!A:N,3,FALSE)</f>
        <v>11262868</v>
      </c>
      <c r="F58" s="9">
        <f>VLOOKUP(B58,'75 - Summary Exhibit'!A:N,4,FALSE)</f>
        <v>91799</v>
      </c>
      <c r="G58" s="9">
        <f>VLOOKUP(B58,'75 - Summary Exhibit'!A:N,5,FALSE)</f>
        <v>48263</v>
      </c>
      <c r="H58" s="9">
        <f>VLOOKUP(B58,'75 - Summary Exhibit'!A:N,6,FALSE)</f>
        <v>2712558</v>
      </c>
      <c r="I58" s="6">
        <f>VLOOKUP(B58,'75 - Summary Exhibit'!A:N,7,FALSE)</f>
        <v>286633</v>
      </c>
      <c r="J58" s="6">
        <f>VLOOKUP(B58,'75 - Summary Exhibit'!A:N,8,FALSE)</f>
        <v>0</v>
      </c>
      <c r="K58" s="6">
        <f>VLOOKUP(B58,'75 - Summary Exhibit'!A:N,9,FALSE)</f>
        <v>0</v>
      </c>
      <c r="L58" s="6">
        <f>VLOOKUP(B58,'75 - Summary Exhibit'!A:N,10,FALSE)</f>
        <v>1468448</v>
      </c>
      <c r="M58" s="6">
        <f>VLOOKUP(B58,'75 - Summary Exhibit'!A:N,11,FALSE)</f>
        <v>1180063</v>
      </c>
      <c r="N58" s="6">
        <f>VLOOKUP(B58,'75 - Summary Exhibit'!A:N,12,FALSE)</f>
        <v>313245</v>
      </c>
      <c r="O58" s="6">
        <f>VLOOKUP(B58,'75 - Summary Exhibit'!A:N,13,FALSE)</f>
        <v>-411252</v>
      </c>
      <c r="P58" s="6">
        <f t="shared" si="13"/>
        <v>-98007</v>
      </c>
      <c r="Q58" s="6">
        <f>VLOOKUP(B58,'75- Deferred Amortization'!A:G,3,FALSE)</f>
        <v>-403725</v>
      </c>
      <c r="R58" s="6">
        <f>VLOOKUP(B58,'75- Deferred Amortization'!A:G,4,FALSE)</f>
        <v>85159</v>
      </c>
      <c r="S58" s="6">
        <f>VLOOKUP(B58,'75- Deferred Amortization'!A:G,5,FALSE)</f>
        <v>507763</v>
      </c>
      <c r="T58" s="6">
        <f>VLOOKUP(B58,'75- Deferred Amortization'!A:G,6,FALSE)</f>
        <v>301546</v>
      </c>
      <c r="U58" s="6">
        <f>VLOOKUP(B58,'75- Deferred Amortization'!A:G,7,FALSE)</f>
        <v>0</v>
      </c>
      <c r="V58" s="6">
        <f t="shared" si="14"/>
        <v>-1</v>
      </c>
      <c r="W58" s="6">
        <f t="shared" si="15"/>
        <v>-1</v>
      </c>
      <c r="X58">
        <v>2</v>
      </c>
      <c r="Z58" s="205">
        <f>VLOOKUP(B58,'Noncap Contr Alloc'!A:C,3,FALSE)</f>
        <v>3426</v>
      </c>
      <c r="AC58" s="9">
        <v>9939890</v>
      </c>
      <c r="AD58" s="9">
        <v>109458</v>
      </c>
      <c r="AE58" s="9">
        <v>79405</v>
      </c>
      <c r="AF58" s="9">
        <v>1076793</v>
      </c>
      <c r="AG58" s="6">
        <v>401273</v>
      </c>
      <c r="AH58" s="6">
        <v>9739</v>
      </c>
      <c r="AI58" s="6">
        <v>0</v>
      </c>
      <c r="AJ58" s="6">
        <v>2651882</v>
      </c>
      <c r="AK58" s="6">
        <v>560774</v>
      </c>
      <c r="AM58" s="6">
        <f t="shared" si="16"/>
        <v>-114640</v>
      </c>
      <c r="AN58" s="6">
        <f t="shared" si="17"/>
        <v>619289</v>
      </c>
      <c r="AO58" s="9">
        <f t="shared" si="18"/>
        <v>-17659</v>
      </c>
      <c r="AP58" s="6">
        <f t="shared" si="19"/>
        <v>-9739</v>
      </c>
      <c r="AQ58" s="9">
        <f t="shared" si="20"/>
        <v>1635765</v>
      </c>
      <c r="AR58" s="6">
        <f t="shared" si="21"/>
        <v>-1183434</v>
      </c>
      <c r="AS58" s="9">
        <f t="shared" si="22"/>
        <v>1322978</v>
      </c>
      <c r="AT58" s="9">
        <f t="shared" si="23"/>
        <v>-31142</v>
      </c>
      <c r="AU58" s="6">
        <f t="shared" si="24"/>
        <v>0</v>
      </c>
      <c r="AV58" s="238">
        <f t="shared" si="12"/>
        <v>11262868</v>
      </c>
    </row>
    <row r="59" spans="1:48" x14ac:dyDescent="0.25">
      <c r="A59" t="s">
        <v>97</v>
      </c>
      <c r="B59">
        <v>37405</v>
      </c>
      <c r="C59" s="6">
        <f>VLOOKUP(B59,'ER Contributions'!A:D,4,FALSE)</f>
        <v>2279064</v>
      </c>
      <c r="D59" s="7">
        <f>VLOOKUP(B59,'ER Contributions'!A:D,3,FALSE)</f>
        <v>1.5697E-3</v>
      </c>
      <c r="E59" s="9">
        <f>VLOOKUP(B59,'75 - Summary Exhibit'!A:N,3,FALSE)</f>
        <v>53389055</v>
      </c>
      <c r="F59" s="9">
        <f>VLOOKUP(B59,'75 - Summary Exhibit'!A:N,4,FALSE)</f>
        <v>435152</v>
      </c>
      <c r="G59" s="9">
        <f>VLOOKUP(B59,'75 - Summary Exhibit'!A:N,5,FALSE)</f>
        <v>228781</v>
      </c>
      <c r="H59" s="9">
        <f>VLOOKUP(B59,'75 - Summary Exhibit'!A:N,6,FALSE)</f>
        <v>12858264</v>
      </c>
      <c r="I59" s="6">
        <f>VLOOKUP(B59,'75 - Summary Exhibit'!A:N,7,FALSE)</f>
        <v>910918</v>
      </c>
      <c r="J59" s="6">
        <f>VLOOKUP(B59,'75 - Summary Exhibit'!A:N,8,FALSE)</f>
        <v>0</v>
      </c>
      <c r="K59" s="6">
        <f>VLOOKUP(B59,'75 - Summary Exhibit'!A:N,9,FALSE)</f>
        <v>0</v>
      </c>
      <c r="L59" s="6">
        <f>VLOOKUP(B59,'75 - Summary Exhibit'!A:N,10,FALSE)</f>
        <v>6960843</v>
      </c>
      <c r="M59" s="6">
        <f>VLOOKUP(B59,'75 - Summary Exhibit'!A:N,11,FALSE)</f>
        <v>1436614</v>
      </c>
      <c r="N59" s="6">
        <f>VLOOKUP(B59,'75 - Summary Exhibit'!A:N,12,FALSE)</f>
        <v>1484868</v>
      </c>
      <c r="O59" s="6">
        <f>VLOOKUP(B59,'75 - Summary Exhibit'!A:N,13,FALSE)</f>
        <v>-1471559</v>
      </c>
      <c r="P59" s="6">
        <f t="shared" si="13"/>
        <v>13309</v>
      </c>
      <c r="Q59" s="6">
        <f>VLOOKUP(B59,'75- Deferred Amortization'!A:G,3,FALSE)</f>
        <v>-903044</v>
      </c>
      <c r="R59" s="6">
        <f>VLOOKUP(B59,'75- Deferred Amortization'!A:G,4,FALSE)</f>
        <v>1196284</v>
      </c>
      <c r="S59" s="6">
        <f>VLOOKUP(B59,'75- Deferred Amortization'!A:G,5,FALSE)</f>
        <v>3338992</v>
      </c>
      <c r="T59" s="6">
        <f>VLOOKUP(B59,'75- Deferred Amortization'!A:G,6,FALSE)</f>
        <v>2403427</v>
      </c>
      <c r="U59" s="6">
        <f>VLOOKUP(B59,'75- Deferred Amortization'!A:G,7,FALSE)</f>
        <v>0</v>
      </c>
      <c r="V59" s="6">
        <f t="shared" si="14"/>
        <v>-1</v>
      </c>
      <c r="W59" s="6">
        <f t="shared" si="15"/>
        <v>-1</v>
      </c>
      <c r="X59">
        <v>2</v>
      </c>
      <c r="Z59" s="205">
        <f>VLOOKUP(B59,'Noncap Contr Alloc'!A:C,3,FALSE)</f>
        <v>16243</v>
      </c>
      <c r="AC59" s="9">
        <v>42261315</v>
      </c>
      <c r="AD59" s="9">
        <v>465380</v>
      </c>
      <c r="AE59" s="9">
        <v>337605</v>
      </c>
      <c r="AF59" s="9">
        <v>4578187</v>
      </c>
      <c r="AG59" s="6">
        <v>1251421</v>
      </c>
      <c r="AH59" s="6">
        <v>41408</v>
      </c>
      <c r="AI59" s="6">
        <v>0</v>
      </c>
      <c r="AJ59" s="6">
        <v>11274978</v>
      </c>
      <c r="AK59" s="6">
        <v>2690286</v>
      </c>
      <c r="AM59" s="6">
        <f t="shared" si="16"/>
        <v>-340503</v>
      </c>
      <c r="AN59" s="6">
        <f t="shared" si="17"/>
        <v>-1253672</v>
      </c>
      <c r="AO59" s="9">
        <f t="shared" si="18"/>
        <v>-30228</v>
      </c>
      <c r="AP59" s="6">
        <f t="shared" si="19"/>
        <v>-41408</v>
      </c>
      <c r="AQ59" s="9">
        <f t="shared" si="20"/>
        <v>8280077</v>
      </c>
      <c r="AR59" s="6">
        <f t="shared" si="21"/>
        <v>-4314135</v>
      </c>
      <c r="AS59" s="9">
        <f t="shared" si="22"/>
        <v>11127740</v>
      </c>
      <c r="AT59" s="9">
        <f t="shared" si="23"/>
        <v>-108824</v>
      </c>
      <c r="AU59" s="6">
        <f t="shared" si="24"/>
        <v>0</v>
      </c>
      <c r="AV59" s="238">
        <f t="shared" si="12"/>
        <v>53389055</v>
      </c>
    </row>
    <row r="60" spans="1:48" x14ac:dyDescent="0.25">
      <c r="A60" t="s">
        <v>98</v>
      </c>
      <c r="B60">
        <v>37605</v>
      </c>
      <c r="C60" s="6">
        <f>VLOOKUP(B60,'ER Contributions'!A:D,4,FALSE)</f>
        <v>928799</v>
      </c>
      <c r="D60" s="7">
        <f>VLOOKUP(B60,'ER Contributions'!A:D,3,FALSE)</f>
        <v>6.5839999999999996E-4</v>
      </c>
      <c r="E60" s="9">
        <f>VLOOKUP(B60,'75 - Summary Exhibit'!A:N,3,FALSE)</f>
        <v>22394627</v>
      </c>
      <c r="F60" s="9">
        <f>VLOOKUP(B60,'75 - Summary Exhibit'!A:N,4,FALSE)</f>
        <v>182529</v>
      </c>
      <c r="G60" s="9">
        <f>VLOOKUP(B60,'75 - Summary Exhibit'!A:N,5,FALSE)</f>
        <v>95965</v>
      </c>
      <c r="H60" s="9">
        <f>VLOOKUP(B60,'75 - Summary Exhibit'!A:N,6,FALSE)</f>
        <v>5393541</v>
      </c>
      <c r="I60" s="6">
        <f>VLOOKUP(B60,'75 - Summary Exhibit'!A:N,7,FALSE)</f>
        <v>843955</v>
      </c>
      <c r="J60" s="6">
        <f>VLOOKUP(B60,'75 - Summary Exhibit'!A:N,8,FALSE)</f>
        <v>0</v>
      </c>
      <c r="K60" s="6">
        <f>VLOOKUP(B60,'75 - Summary Exhibit'!A:N,9,FALSE)</f>
        <v>0</v>
      </c>
      <c r="L60" s="6">
        <f>VLOOKUP(B60,'75 - Summary Exhibit'!A:N,10,FALSE)</f>
        <v>2919802</v>
      </c>
      <c r="M60" s="6">
        <f>VLOOKUP(B60,'75 - Summary Exhibit'!A:N,11,FALSE)</f>
        <v>403467</v>
      </c>
      <c r="N60" s="6">
        <f>VLOOKUP(B60,'75 - Summary Exhibit'!A:N,12,FALSE)</f>
        <v>622844</v>
      </c>
      <c r="O60" s="6">
        <f>VLOOKUP(B60,'75 - Summary Exhibit'!A:N,13,FALSE)</f>
        <v>-113164</v>
      </c>
      <c r="P60" s="6">
        <f t="shared" si="13"/>
        <v>509680</v>
      </c>
      <c r="Q60" s="6">
        <f>VLOOKUP(B60,'75- Deferred Amortization'!A:G,3,FALSE)</f>
        <v>-124932</v>
      </c>
      <c r="R60" s="6">
        <f>VLOOKUP(B60,'75- Deferred Amortization'!A:G,4,FALSE)</f>
        <v>574054</v>
      </c>
      <c r="S60" s="6">
        <f>VLOOKUP(B60,'75- Deferred Amortization'!A:G,5,FALSE)</f>
        <v>1604147</v>
      </c>
      <c r="T60" s="6">
        <f>VLOOKUP(B60,'75- Deferred Amortization'!A:G,6,FALSE)</f>
        <v>1139451</v>
      </c>
      <c r="U60" s="6">
        <f>VLOOKUP(B60,'75- Deferred Amortization'!A:G,7,FALSE)</f>
        <v>0</v>
      </c>
      <c r="V60" s="6">
        <f t="shared" si="14"/>
        <v>1</v>
      </c>
      <c r="W60" s="6">
        <f t="shared" si="15"/>
        <v>1</v>
      </c>
      <c r="X60">
        <v>2</v>
      </c>
      <c r="Z60" s="205">
        <f>VLOOKUP(B60,'Noncap Contr Alloc'!A:C,3,FALSE)</f>
        <v>6813</v>
      </c>
      <c r="AC60" s="9">
        <v>17127452</v>
      </c>
      <c r="AD60" s="9">
        <v>188607</v>
      </c>
      <c r="AE60" s="9">
        <v>136823</v>
      </c>
      <c r="AF60" s="9">
        <v>1855424</v>
      </c>
      <c r="AG60" s="6">
        <v>674804</v>
      </c>
      <c r="AH60" s="6">
        <v>16781</v>
      </c>
      <c r="AI60" s="6">
        <v>0</v>
      </c>
      <c r="AJ60" s="6">
        <v>4569466</v>
      </c>
      <c r="AK60" s="6">
        <v>769798</v>
      </c>
      <c r="AM60" s="6">
        <f t="shared" si="16"/>
        <v>169151</v>
      </c>
      <c r="AN60" s="6">
        <f t="shared" si="17"/>
        <v>-366331</v>
      </c>
      <c r="AO60" s="9">
        <f t="shared" si="18"/>
        <v>-6078</v>
      </c>
      <c r="AP60" s="6">
        <f t="shared" si="19"/>
        <v>-16781</v>
      </c>
      <c r="AQ60" s="9">
        <f t="shared" si="20"/>
        <v>3538117</v>
      </c>
      <c r="AR60" s="6">
        <f t="shared" si="21"/>
        <v>-1649664</v>
      </c>
      <c r="AS60" s="9">
        <f t="shared" si="22"/>
        <v>5267175</v>
      </c>
      <c r="AT60" s="9">
        <f t="shared" si="23"/>
        <v>-40858</v>
      </c>
      <c r="AU60" s="6">
        <f t="shared" si="24"/>
        <v>0</v>
      </c>
      <c r="AV60" s="238">
        <f t="shared" si="12"/>
        <v>22394627</v>
      </c>
    </row>
    <row r="61" spans="1:48" x14ac:dyDescent="0.25">
      <c r="A61" t="s">
        <v>99</v>
      </c>
      <c r="B61">
        <v>37705</v>
      </c>
      <c r="C61" s="6">
        <f>VLOOKUP(B61,'ER Contributions'!A:D,4,FALSE)</f>
        <v>1008927</v>
      </c>
      <c r="D61" s="7">
        <f>VLOOKUP(B61,'ER Contributions'!A:D,3,FALSE)</f>
        <v>5.888E-4</v>
      </c>
      <c r="E61" s="9">
        <f>VLOOKUP(B61,'75 - Summary Exhibit'!A:N,3,FALSE)</f>
        <v>20027898</v>
      </c>
      <c r="F61" s="9">
        <f>VLOOKUP(B61,'75 - Summary Exhibit'!A:N,4,FALSE)</f>
        <v>163239</v>
      </c>
      <c r="G61" s="9">
        <f>VLOOKUP(B61,'75 - Summary Exhibit'!A:N,5,FALSE)</f>
        <v>85823</v>
      </c>
      <c r="H61" s="9">
        <f>VLOOKUP(B61,'75 - Summary Exhibit'!A:N,6,FALSE)</f>
        <v>4823536</v>
      </c>
      <c r="I61" s="6">
        <f>VLOOKUP(B61,'75 - Summary Exhibit'!A:N,7,FALSE)</f>
        <v>604005</v>
      </c>
      <c r="J61" s="6">
        <f>VLOOKUP(B61,'75 - Summary Exhibit'!A:N,8,FALSE)</f>
        <v>0</v>
      </c>
      <c r="K61" s="6">
        <f>VLOOKUP(B61,'75 - Summary Exhibit'!A:N,9,FALSE)</f>
        <v>0</v>
      </c>
      <c r="L61" s="6">
        <f>VLOOKUP(B61,'75 - Summary Exhibit'!A:N,10,FALSE)</f>
        <v>2611229</v>
      </c>
      <c r="M61" s="6">
        <f>VLOOKUP(B61,'75 - Summary Exhibit'!A:N,11,FALSE)</f>
        <v>1947248</v>
      </c>
      <c r="N61" s="6">
        <f>VLOOKUP(B61,'75 - Summary Exhibit'!A:N,12,FALSE)</f>
        <v>557020</v>
      </c>
      <c r="O61" s="6">
        <f>VLOOKUP(B61,'75 - Summary Exhibit'!A:N,13,FALSE)</f>
        <v>-739030</v>
      </c>
      <c r="P61" s="6">
        <f t="shared" si="13"/>
        <v>-182010</v>
      </c>
      <c r="Q61" s="6">
        <f>VLOOKUP(B61,'75- Deferred Amortization'!A:G,3,FALSE)</f>
        <v>-744483</v>
      </c>
      <c r="R61" s="6">
        <f>VLOOKUP(B61,'75- Deferred Amortization'!A:G,4,FALSE)</f>
        <v>88389</v>
      </c>
      <c r="S61" s="6">
        <f>VLOOKUP(B61,'75- Deferred Amortization'!A:G,5,FALSE)</f>
        <v>1120134</v>
      </c>
      <c r="T61" s="6">
        <f>VLOOKUP(B61,'75- Deferred Amortization'!A:G,6,FALSE)</f>
        <v>654086</v>
      </c>
      <c r="U61" s="6">
        <f>VLOOKUP(B61,'75- Deferred Amortization'!A:G,7,FALSE)</f>
        <v>0</v>
      </c>
      <c r="V61" s="6">
        <f t="shared" si="14"/>
        <v>0</v>
      </c>
      <c r="W61" s="6">
        <f t="shared" si="15"/>
        <v>0</v>
      </c>
      <c r="X61">
        <v>2</v>
      </c>
      <c r="Z61" s="205">
        <f>VLOOKUP(B61,'Noncap Contr Alloc'!A:C,3,FALSE)</f>
        <v>6093</v>
      </c>
      <c r="AC61" s="9">
        <v>17073723</v>
      </c>
      <c r="AD61" s="9">
        <v>188015</v>
      </c>
      <c r="AE61" s="9">
        <v>136394</v>
      </c>
      <c r="AF61" s="9">
        <v>1849604</v>
      </c>
      <c r="AG61" s="6">
        <v>805340</v>
      </c>
      <c r="AH61" s="6">
        <v>16729</v>
      </c>
      <c r="AI61" s="6">
        <v>0</v>
      </c>
      <c r="AJ61" s="6">
        <v>4555131</v>
      </c>
      <c r="AK61" s="6">
        <v>1440572</v>
      </c>
      <c r="AM61" s="6">
        <f t="shared" si="16"/>
        <v>-201335</v>
      </c>
      <c r="AN61" s="6">
        <f t="shared" si="17"/>
        <v>506676</v>
      </c>
      <c r="AO61" s="9">
        <f t="shared" si="18"/>
        <v>-24776</v>
      </c>
      <c r="AP61" s="6">
        <f t="shared" si="19"/>
        <v>-16729</v>
      </c>
      <c r="AQ61" s="9">
        <f t="shared" si="20"/>
        <v>2973932</v>
      </c>
      <c r="AR61" s="6">
        <f t="shared" si="21"/>
        <v>-1943902</v>
      </c>
      <c r="AS61" s="9">
        <f t="shared" si="22"/>
        <v>2954175</v>
      </c>
      <c r="AT61" s="9">
        <f t="shared" si="23"/>
        <v>-50571</v>
      </c>
      <c r="AU61" s="6">
        <f t="shared" si="24"/>
        <v>0</v>
      </c>
      <c r="AV61" s="238">
        <f t="shared" si="12"/>
        <v>20027898</v>
      </c>
    </row>
    <row r="62" spans="1:48" x14ac:dyDescent="0.25">
      <c r="A62" t="s">
        <v>79</v>
      </c>
      <c r="B62">
        <v>34605</v>
      </c>
      <c r="C62" s="6">
        <f>VLOOKUP(B62,'ER Contributions'!A:D,4,FALSE)</f>
        <v>258831</v>
      </c>
      <c r="D62" s="7">
        <f>VLOOKUP(B62,'ER Contributions'!A:D,3,FALSE)</f>
        <v>1.5579999999999999E-4</v>
      </c>
      <c r="E62" s="9">
        <f>VLOOKUP(B62,'75 - Summary Exhibit'!A:N,3,FALSE)</f>
        <v>5298281</v>
      </c>
      <c r="F62" s="9">
        <f>VLOOKUP(B62,'75 - Summary Exhibit'!A:N,4,FALSE)</f>
        <v>43184</v>
      </c>
      <c r="G62" s="9">
        <f>VLOOKUP(B62,'75 - Summary Exhibit'!A:N,5,FALSE)</f>
        <v>22704</v>
      </c>
      <c r="H62" s="9">
        <f>VLOOKUP(B62,'75 - Summary Exhibit'!A:N,6,FALSE)</f>
        <v>1276042</v>
      </c>
      <c r="I62" s="6">
        <f>VLOOKUP(B62,'75 - Summary Exhibit'!A:N,7,FALSE)</f>
        <v>238254</v>
      </c>
      <c r="J62" s="6">
        <f>VLOOKUP(B62,'75 - Summary Exhibit'!A:N,8,FALSE)</f>
        <v>0</v>
      </c>
      <c r="K62" s="6">
        <f>VLOOKUP(B62,'75 - Summary Exhibit'!A:N,9,FALSE)</f>
        <v>0</v>
      </c>
      <c r="L62" s="6">
        <f>VLOOKUP(B62,'75 - Summary Exhibit'!A:N,10,FALSE)</f>
        <v>690788</v>
      </c>
      <c r="M62" s="6">
        <f>VLOOKUP(B62,'75 - Summary Exhibit'!A:N,11,FALSE)</f>
        <v>384199</v>
      </c>
      <c r="N62" s="6">
        <f>VLOOKUP(B62,'75 - Summary Exhibit'!A:N,12,FALSE)</f>
        <v>147357</v>
      </c>
      <c r="O62" s="6">
        <f>VLOOKUP(B62,'75 - Summary Exhibit'!A:N,13,FALSE)</f>
        <v>-355497</v>
      </c>
      <c r="P62" s="6">
        <f t="shared" si="13"/>
        <v>-208140</v>
      </c>
      <c r="Q62" s="6">
        <f>VLOOKUP(B62,'75- Deferred Amortization'!A:G,3,FALSE)</f>
        <v>-218937</v>
      </c>
      <c r="R62" s="6">
        <f>VLOOKUP(B62,'75- Deferred Amortization'!A:G,4,FALSE)</f>
        <v>141761</v>
      </c>
      <c r="S62" s="6">
        <f>VLOOKUP(B62,'75- Deferred Amortization'!A:G,5,FALSE)</f>
        <v>299023</v>
      </c>
      <c r="T62" s="6">
        <f>VLOOKUP(B62,'75- Deferred Amortization'!A:G,6,FALSE)</f>
        <v>283351</v>
      </c>
      <c r="U62" s="6">
        <f>VLOOKUP(B62,'75- Deferred Amortization'!A:G,7,FALSE)</f>
        <v>0</v>
      </c>
      <c r="V62" s="6">
        <f t="shared" si="14"/>
        <v>-1</v>
      </c>
      <c r="W62" s="6">
        <f t="shared" si="15"/>
        <v>-1</v>
      </c>
      <c r="X62">
        <v>2</v>
      </c>
      <c r="Z62" s="205">
        <f>VLOOKUP(B62,'Noncap Contr Alloc'!A:C,3,FALSE)</f>
        <v>1612</v>
      </c>
      <c r="AC62" s="9">
        <v>4026037</v>
      </c>
      <c r="AD62" s="9">
        <v>44335</v>
      </c>
      <c r="AE62" s="9">
        <v>32162</v>
      </c>
      <c r="AF62" s="9">
        <v>436142</v>
      </c>
      <c r="AG62" s="6">
        <v>154857</v>
      </c>
      <c r="AH62" s="6">
        <v>3945</v>
      </c>
      <c r="AI62" s="6">
        <v>0</v>
      </c>
      <c r="AJ62" s="6">
        <v>1074114</v>
      </c>
      <c r="AK62" s="6">
        <v>825066</v>
      </c>
      <c r="AM62" s="6">
        <f t="shared" si="16"/>
        <v>83397</v>
      </c>
      <c r="AN62" s="6">
        <f t="shared" si="17"/>
        <v>-440867</v>
      </c>
      <c r="AO62" s="9">
        <f t="shared" si="18"/>
        <v>-1151</v>
      </c>
      <c r="AP62" s="6">
        <f t="shared" si="19"/>
        <v>-3945</v>
      </c>
      <c r="AQ62" s="9">
        <f t="shared" si="20"/>
        <v>839900</v>
      </c>
      <c r="AR62" s="6">
        <f t="shared" si="21"/>
        <v>-383326</v>
      </c>
      <c r="AS62" s="9">
        <f t="shared" si="22"/>
        <v>1272244</v>
      </c>
      <c r="AT62" s="9">
        <f t="shared" si="23"/>
        <v>-9458</v>
      </c>
      <c r="AU62" s="6">
        <f t="shared" si="24"/>
        <v>0</v>
      </c>
      <c r="AV62" s="238">
        <f t="shared" si="12"/>
        <v>5298281</v>
      </c>
    </row>
    <row r="63" spans="1:48" x14ac:dyDescent="0.25">
      <c r="A63" t="s">
        <v>100</v>
      </c>
      <c r="B63">
        <v>37805</v>
      </c>
      <c r="C63" s="6">
        <f>VLOOKUP(B63,'ER Contributions'!A:D,4,FALSE)</f>
        <v>874006</v>
      </c>
      <c r="D63" s="7">
        <f>VLOOKUP(B63,'ER Contributions'!A:D,3,FALSE)</f>
        <v>5.5920000000000004E-4</v>
      </c>
      <c r="E63" s="9">
        <f>VLOOKUP(B63,'75 - Summary Exhibit'!A:N,3,FALSE)</f>
        <v>19020051</v>
      </c>
      <c r="F63" s="9">
        <f>VLOOKUP(B63,'75 - Summary Exhibit'!A:N,4,FALSE)</f>
        <v>155025</v>
      </c>
      <c r="G63" s="9">
        <f>VLOOKUP(B63,'75 - Summary Exhibit'!A:N,5,FALSE)</f>
        <v>81504</v>
      </c>
      <c r="H63" s="9">
        <f>VLOOKUP(B63,'75 - Summary Exhibit'!A:N,6,FALSE)</f>
        <v>4580805</v>
      </c>
      <c r="I63" s="6">
        <f>VLOOKUP(B63,'75 - Summary Exhibit'!A:N,7,FALSE)</f>
        <v>1211848</v>
      </c>
      <c r="J63" s="6">
        <f>VLOOKUP(B63,'75 - Summary Exhibit'!A:N,8,FALSE)</f>
        <v>0</v>
      </c>
      <c r="K63" s="6">
        <f>VLOOKUP(B63,'75 - Summary Exhibit'!A:N,9,FALSE)</f>
        <v>0</v>
      </c>
      <c r="L63" s="6">
        <f>VLOOKUP(B63,'75 - Summary Exhibit'!A:N,10,FALSE)</f>
        <v>2479826</v>
      </c>
      <c r="M63" s="6">
        <f>VLOOKUP(B63,'75 - Summary Exhibit'!A:N,11,FALSE)</f>
        <v>0</v>
      </c>
      <c r="N63" s="6">
        <f>VLOOKUP(B63,'75 - Summary Exhibit'!A:N,12,FALSE)</f>
        <v>528992</v>
      </c>
      <c r="O63" s="6">
        <f>VLOOKUP(B63,'75 - Summary Exhibit'!A:N,13,FALSE)</f>
        <v>131469</v>
      </c>
      <c r="P63" s="6">
        <f t="shared" si="13"/>
        <v>660461</v>
      </c>
      <c r="Q63" s="6">
        <f>VLOOKUP(B63,'75- Deferred Amortization'!A:G,3,FALSE)</f>
        <v>421154</v>
      </c>
      <c r="R63" s="6">
        <f>VLOOKUP(B63,'75- Deferred Amortization'!A:G,4,FALSE)</f>
        <v>834977</v>
      </c>
      <c r="S63" s="6">
        <f>VLOOKUP(B63,'75- Deferred Amortization'!A:G,5,FALSE)</f>
        <v>1334359</v>
      </c>
      <c r="T63" s="6">
        <f>VLOOKUP(B63,'75- Deferred Amortization'!A:G,6,FALSE)</f>
        <v>958865</v>
      </c>
      <c r="U63" s="6">
        <f>VLOOKUP(B63,'75- Deferred Amortization'!A:G,7,FALSE)</f>
        <v>0</v>
      </c>
      <c r="V63" s="6">
        <f t="shared" si="14"/>
        <v>2</v>
      </c>
      <c r="W63" s="6">
        <f t="shared" si="15"/>
        <v>1</v>
      </c>
      <c r="X63">
        <v>2</v>
      </c>
      <c r="Z63" s="205">
        <f>VLOOKUP(B63,'Noncap Contr Alloc'!A:C,3,FALSE)</f>
        <v>5787</v>
      </c>
      <c r="AC63" s="9">
        <v>14660204</v>
      </c>
      <c r="AD63" s="9">
        <v>161438</v>
      </c>
      <c r="AE63" s="9">
        <v>117113</v>
      </c>
      <c r="AF63" s="9">
        <v>1588146</v>
      </c>
      <c r="AG63" s="6">
        <v>1430283</v>
      </c>
      <c r="AH63" s="6">
        <v>14364</v>
      </c>
      <c r="AI63" s="6">
        <v>0</v>
      </c>
      <c r="AJ63" s="6">
        <v>3911224</v>
      </c>
      <c r="AK63" s="6">
        <v>401217</v>
      </c>
      <c r="AM63" s="6">
        <f t="shared" si="16"/>
        <v>-218435</v>
      </c>
      <c r="AN63" s="6">
        <f t="shared" si="17"/>
        <v>-401217</v>
      </c>
      <c r="AO63" s="9">
        <f t="shared" si="18"/>
        <v>-6413</v>
      </c>
      <c r="AP63" s="6">
        <f t="shared" si="19"/>
        <v>-14364</v>
      </c>
      <c r="AQ63" s="9">
        <f t="shared" si="20"/>
        <v>2992659</v>
      </c>
      <c r="AR63" s="6">
        <f t="shared" si="21"/>
        <v>-1431398</v>
      </c>
      <c r="AS63" s="9">
        <f t="shared" si="22"/>
        <v>4359847</v>
      </c>
      <c r="AT63" s="9">
        <f t="shared" si="23"/>
        <v>-35609</v>
      </c>
      <c r="AU63" s="6">
        <f t="shared" si="24"/>
        <v>0</v>
      </c>
      <c r="AV63" s="238">
        <f t="shared" si="12"/>
        <v>19020051</v>
      </c>
    </row>
    <row r="64" spans="1:48" x14ac:dyDescent="0.25">
      <c r="A64" t="s">
        <v>101</v>
      </c>
      <c r="B64">
        <v>37905</v>
      </c>
      <c r="C64" s="6">
        <f>VLOOKUP(B64,'ER Contributions'!A:D,4,FALSE)</f>
        <v>623148</v>
      </c>
      <c r="D64" s="7">
        <f>VLOOKUP(B64,'ER Contributions'!A:D,3,FALSE)</f>
        <v>3.926E-4</v>
      </c>
      <c r="E64" s="9">
        <f>VLOOKUP(B64,'75 - Summary Exhibit'!A:N,3,FALSE)</f>
        <v>13354781</v>
      </c>
      <c r="F64" s="9">
        <f>VLOOKUP(B64,'75 - Summary Exhibit'!A:N,4,FALSE)</f>
        <v>108849</v>
      </c>
      <c r="G64" s="9">
        <f>VLOOKUP(B64,'75 - Summary Exhibit'!A:N,5,FALSE)</f>
        <v>57227</v>
      </c>
      <c r="H64" s="9">
        <f>VLOOKUP(B64,'75 - Summary Exhibit'!A:N,6,FALSE)</f>
        <v>3216377</v>
      </c>
      <c r="I64" s="6">
        <f>VLOOKUP(B64,'75 - Summary Exhibit'!A:N,7,FALSE)</f>
        <v>276478</v>
      </c>
      <c r="J64" s="6">
        <f>VLOOKUP(B64,'75 - Summary Exhibit'!A:N,8,FALSE)</f>
        <v>0</v>
      </c>
      <c r="K64" s="6">
        <f>VLOOKUP(B64,'75 - Summary Exhibit'!A:N,9,FALSE)</f>
        <v>0</v>
      </c>
      <c r="L64" s="6">
        <f>VLOOKUP(B64,'75 - Summary Exhibit'!A:N,10,FALSE)</f>
        <v>1741191</v>
      </c>
      <c r="M64" s="6">
        <f>VLOOKUP(B64,'75 - Summary Exhibit'!A:N,11,FALSE)</f>
        <v>288797</v>
      </c>
      <c r="N64" s="6">
        <f>VLOOKUP(B64,'75 - Summary Exhibit'!A:N,12,FALSE)</f>
        <v>371426</v>
      </c>
      <c r="O64" s="6">
        <f>VLOOKUP(B64,'75 - Summary Exhibit'!A:N,13,FALSE)</f>
        <v>-109568</v>
      </c>
      <c r="P64" s="6">
        <f t="shared" si="13"/>
        <v>261858</v>
      </c>
      <c r="Q64" s="6">
        <f>VLOOKUP(B64,'75- Deferred Amortization'!A:G,3,FALSE)</f>
        <v>-40296</v>
      </c>
      <c r="R64" s="6">
        <f>VLOOKUP(B64,'75- Deferred Amortization'!A:G,4,FALSE)</f>
        <v>329748</v>
      </c>
      <c r="S64" s="6">
        <f>VLOOKUP(B64,'75- Deferred Amortization'!A:G,5,FALSE)</f>
        <v>780827</v>
      </c>
      <c r="T64" s="6">
        <f>VLOOKUP(B64,'75- Deferred Amortization'!A:G,6,FALSE)</f>
        <v>558664</v>
      </c>
      <c r="U64" s="6">
        <f>VLOOKUP(B64,'75- Deferred Amortization'!A:G,7,FALSE)</f>
        <v>0</v>
      </c>
      <c r="V64" s="6">
        <f t="shared" si="14"/>
        <v>1</v>
      </c>
      <c r="W64" s="6">
        <f t="shared" si="15"/>
        <v>0</v>
      </c>
      <c r="X64">
        <v>2</v>
      </c>
      <c r="Z64" s="205">
        <f>VLOOKUP(B64,'Noncap Contr Alloc'!A:C,3,FALSE)</f>
        <v>4063</v>
      </c>
      <c r="AC64" s="9">
        <v>10804274</v>
      </c>
      <c r="AD64" s="9">
        <v>118976</v>
      </c>
      <c r="AE64" s="9">
        <v>86310</v>
      </c>
      <c r="AF64" s="9">
        <v>1170432</v>
      </c>
      <c r="AG64" s="6">
        <v>391892</v>
      </c>
      <c r="AH64" s="6">
        <v>10586</v>
      </c>
      <c r="AI64" s="6">
        <v>0</v>
      </c>
      <c r="AJ64" s="6">
        <v>2882493</v>
      </c>
      <c r="AK64" s="6">
        <v>161449</v>
      </c>
      <c r="AM64" s="6">
        <f t="shared" si="16"/>
        <v>-115414</v>
      </c>
      <c r="AN64" s="6">
        <f t="shared" si="17"/>
        <v>127348</v>
      </c>
      <c r="AO64" s="9">
        <f t="shared" si="18"/>
        <v>-10127</v>
      </c>
      <c r="AP64" s="6">
        <f t="shared" si="19"/>
        <v>-10586</v>
      </c>
      <c r="AQ64" s="9">
        <f t="shared" si="20"/>
        <v>2045945</v>
      </c>
      <c r="AR64" s="6">
        <f t="shared" si="21"/>
        <v>-1141302</v>
      </c>
      <c r="AS64" s="9">
        <f t="shared" si="22"/>
        <v>2550507</v>
      </c>
      <c r="AT64" s="9">
        <f t="shared" si="23"/>
        <v>-29083</v>
      </c>
      <c r="AU64" s="6">
        <f t="shared" si="24"/>
        <v>0</v>
      </c>
      <c r="AV64" s="238">
        <f t="shared" si="12"/>
        <v>13354781</v>
      </c>
    </row>
    <row r="65" spans="1:48" x14ac:dyDescent="0.25">
      <c r="A65" t="s">
        <v>102</v>
      </c>
      <c r="B65">
        <v>38005</v>
      </c>
      <c r="C65" s="6">
        <f>VLOOKUP(B65,'ER Contributions'!A:D,4,FALSE)</f>
        <v>1950395</v>
      </c>
      <c r="D65" s="7">
        <f>VLOOKUP(B65,'ER Contributions'!A:D,3,FALSE)</f>
        <v>1.3960000000000001E-3</v>
      </c>
      <c r="E65" s="9">
        <f>VLOOKUP(B65,'75 - Summary Exhibit'!A:N,3,FALSE)</f>
        <v>47480915</v>
      </c>
      <c r="F65" s="9">
        <f>VLOOKUP(B65,'75 - Summary Exhibit'!A:N,4,FALSE)</f>
        <v>386997</v>
      </c>
      <c r="G65" s="9">
        <f>VLOOKUP(B65,'75 - Summary Exhibit'!A:N,5,FALSE)</f>
        <v>203463</v>
      </c>
      <c r="H65" s="9">
        <f>VLOOKUP(B65,'75 - Summary Exhibit'!A:N,6,FALSE)</f>
        <v>11435343</v>
      </c>
      <c r="I65" s="6">
        <f>VLOOKUP(B65,'75 - Summary Exhibit'!A:N,7,FALSE)</f>
        <v>3874242</v>
      </c>
      <c r="J65" s="6">
        <f>VLOOKUP(B65,'75 - Summary Exhibit'!A:N,8,FALSE)</f>
        <v>0</v>
      </c>
      <c r="K65" s="6">
        <f>VLOOKUP(B65,'75 - Summary Exhibit'!A:N,9,FALSE)</f>
        <v>0</v>
      </c>
      <c r="L65" s="6">
        <f>VLOOKUP(B65,'75 - Summary Exhibit'!A:N,10,FALSE)</f>
        <v>6190542</v>
      </c>
      <c r="M65" s="6">
        <f>VLOOKUP(B65,'75 - Summary Exhibit'!A:N,11,FALSE)</f>
        <v>0</v>
      </c>
      <c r="N65" s="6">
        <f>VLOOKUP(B65,'75 - Summary Exhibit'!A:N,12,FALSE)</f>
        <v>1320550</v>
      </c>
      <c r="O65" s="6">
        <f>VLOOKUP(B65,'75 - Summary Exhibit'!A:N,13,FALSE)</f>
        <v>1524781</v>
      </c>
      <c r="P65" s="6">
        <f t="shared" si="13"/>
        <v>2845331</v>
      </c>
      <c r="Q65" s="6">
        <f>VLOOKUP(B65,'75- Deferred Amortization'!A:G,3,FALSE)</f>
        <v>1139665</v>
      </c>
      <c r="R65" s="6">
        <f>VLOOKUP(B65,'75- Deferred Amortization'!A:G,4,FALSE)</f>
        <v>2422035</v>
      </c>
      <c r="S65" s="6">
        <f>VLOOKUP(B65,'75- Deferred Amortization'!A:G,5,FALSE)</f>
        <v>3609145</v>
      </c>
      <c r="T65" s="6">
        <f>VLOOKUP(B65,'75- Deferred Amortization'!A:G,6,FALSE)</f>
        <v>2538659</v>
      </c>
      <c r="U65" s="6">
        <f>VLOOKUP(B65,'75- Deferred Amortization'!A:G,7,FALSE)</f>
        <v>0</v>
      </c>
      <c r="V65" s="6">
        <f t="shared" si="14"/>
        <v>-2</v>
      </c>
      <c r="W65" s="6">
        <f t="shared" si="15"/>
        <v>-1</v>
      </c>
      <c r="X65">
        <v>2</v>
      </c>
      <c r="Z65" s="205">
        <f>VLOOKUP(B65,'Noncap Contr Alloc'!A:C,3,FALSE)</f>
        <v>14446</v>
      </c>
      <c r="AC65" s="9">
        <v>35758573</v>
      </c>
      <c r="AD65" s="9">
        <v>393772</v>
      </c>
      <c r="AE65" s="9">
        <v>285658</v>
      </c>
      <c r="AF65" s="9">
        <v>3873742</v>
      </c>
      <c r="AG65" s="6">
        <v>3889616</v>
      </c>
      <c r="AH65" s="6">
        <v>35036</v>
      </c>
      <c r="AI65" s="6">
        <v>0</v>
      </c>
      <c r="AJ65" s="6">
        <v>9540099</v>
      </c>
      <c r="AK65" s="6">
        <v>0</v>
      </c>
      <c r="AM65" s="6">
        <f t="shared" si="16"/>
        <v>-15374</v>
      </c>
      <c r="AN65" s="6">
        <f t="shared" si="17"/>
        <v>0</v>
      </c>
      <c r="AO65" s="9">
        <f t="shared" si="18"/>
        <v>-6775</v>
      </c>
      <c r="AP65" s="6">
        <f t="shared" si="19"/>
        <v>-35036</v>
      </c>
      <c r="AQ65" s="9">
        <f t="shared" si="20"/>
        <v>7561601</v>
      </c>
      <c r="AR65" s="6">
        <f t="shared" si="21"/>
        <v>-3349557</v>
      </c>
      <c r="AS65" s="9">
        <f t="shared" si="22"/>
        <v>11722342</v>
      </c>
      <c r="AT65" s="9">
        <f t="shared" si="23"/>
        <v>-82195</v>
      </c>
      <c r="AU65" s="6">
        <f t="shared" si="24"/>
        <v>0</v>
      </c>
      <c r="AV65" s="238">
        <f t="shared" si="12"/>
        <v>47480915</v>
      </c>
    </row>
    <row r="66" spans="1:48" x14ac:dyDescent="0.25">
      <c r="A66" t="s">
        <v>104</v>
      </c>
      <c r="B66">
        <v>38205</v>
      </c>
      <c r="C66" s="6">
        <f>VLOOKUP(B66,'ER Contributions'!A:D,4,FALSE)</f>
        <v>596337</v>
      </c>
      <c r="D66" s="7">
        <f>VLOOKUP(B66,'ER Contributions'!A:D,3,FALSE)</f>
        <v>3.8010000000000002E-4</v>
      </c>
      <c r="E66" s="9">
        <f>VLOOKUP(B66,'75 - Summary Exhibit'!A:N,3,FALSE)</f>
        <v>12927372</v>
      </c>
      <c r="F66" s="9">
        <f>VLOOKUP(B66,'75 - Summary Exhibit'!A:N,4,FALSE)</f>
        <v>105366</v>
      </c>
      <c r="G66" s="9">
        <f>VLOOKUP(B66,'75 - Summary Exhibit'!A:N,5,FALSE)</f>
        <v>55396</v>
      </c>
      <c r="H66" s="9">
        <f>VLOOKUP(B66,'75 - Summary Exhibit'!A:N,6,FALSE)</f>
        <v>3113439</v>
      </c>
      <c r="I66" s="6">
        <f>VLOOKUP(B66,'75 - Summary Exhibit'!A:N,7,FALSE)</f>
        <v>418075</v>
      </c>
      <c r="J66" s="6">
        <f>VLOOKUP(B66,'75 - Summary Exhibit'!A:N,8,FALSE)</f>
        <v>0</v>
      </c>
      <c r="K66" s="6">
        <f>VLOOKUP(B66,'75 - Summary Exhibit'!A:N,9,FALSE)</f>
        <v>0</v>
      </c>
      <c r="L66" s="6">
        <f>VLOOKUP(B66,'75 - Summary Exhibit'!A:N,10,FALSE)</f>
        <v>1685465</v>
      </c>
      <c r="M66" s="6">
        <f>VLOOKUP(B66,'75 - Summary Exhibit'!A:N,11,FALSE)</f>
        <v>350464</v>
      </c>
      <c r="N66" s="6">
        <f>VLOOKUP(B66,'75 - Summary Exhibit'!A:N,12,FALSE)</f>
        <v>359539</v>
      </c>
      <c r="O66" s="6">
        <f>VLOOKUP(B66,'75 - Summary Exhibit'!A:N,13,FALSE)</f>
        <v>45183</v>
      </c>
      <c r="P66" s="6">
        <f t="shared" si="13"/>
        <v>404722</v>
      </c>
      <c r="Q66" s="6">
        <f>VLOOKUP(B66,'75- Deferred Amortization'!A:G,3,FALSE)</f>
        <v>-10714</v>
      </c>
      <c r="R66" s="6">
        <f>VLOOKUP(B66,'75- Deferred Amortization'!A:G,4,FALSE)</f>
        <v>247910</v>
      </c>
      <c r="S66" s="6">
        <f>VLOOKUP(B66,'75- Deferred Amortization'!A:G,5,FALSE)</f>
        <v>849208</v>
      </c>
      <c r="T66" s="6">
        <f>VLOOKUP(B66,'75- Deferred Amortization'!A:G,6,FALSE)</f>
        <v>569941</v>
      </c>
      <c r="U66" s="6">
        <f>VLOOKUP(B66,'75- Deferred Amortization'!A:G,7,FALSE)</f>
        <v>0</v>
      </c>
      <c r="V66" s="6">
        <f t="shared" si="14"/>
        <v>1</v>
      </c>
      <c r="W66" s="6">
        <f t="shared" si="15"/>
        <v>2</v>
      </c>
      <c r="X66">
        <v>2</v>
      </c>
      <c r="Z66" s="205">
        <f>VLOOKUP(B66,'Noncap Contr Alloc'!A:C,3,FALSE)</f>
        <v>3933</v>
      </c>
      <c r="AC66" s="9">
        <v>10324636</v>
      </c>
      <c r="AD66" s="9">
        <v>113694</v>
      </c>
      <c r="AE66" s="9">
        <v>82478</v>
      </c>
      <c r="AF66" s="9">
        <v>1118472</v>
      </c>
      <c r="AG66" s="6">
        <v>619344</v>
      </c>
      <c r="AH66" s="6">
        <v>10116</v>
      </c>
      <c r="AI66" s="6">
        <v>0</v>
      </c>
      <c r="AJ66" s="6">
        <v>2754530</v>
      </c>
      <c r="AK66" s="6">
        <v>311280</v>
      </c>
      <c r="AM66" s="6">
        <f t="shared" si="16"/>
        <v>-201269</v>
      </c>
      <c r="AN66" s="6">
        <f t="shared" si="17"/>
        <v>39184</v>
      </c>
      <c r="AO66" s="9">
        <f t="shared" si="18"/>
        <v>-8328</v>
      </c>
      <c r="AP66" s="6">
        <f t="shared" si="19"/>
        <v>-10116</v>
      </c>
      <c r="AQ66" s="9">
        <f t="shared" si="20"/>
        <v>1994967</v>
      </c>
      <c r="AR66" s="6">
        <f t="shared" si="21"/>
        <v>-1069065</v>
      </c>
      <c r="AS66" s="9">
        <f t="shared" si="22"/>
        <v>2602736</v>
      </c>
      <c r="AT66" s="9">
        <f t="shared" si="23"/>
        <v>-27082</v>
      </c>
      <c r="AU66" s="6">
        <f t="shared" si="24"/>
        <v>0</v>
      </c>
      <c r="AV66" s="238">
        <f t="shared" si="12"/>
        <v>12927372</v>
      </c>
    </row>
    <row r="67" spans="1:48" x14ac:dyDescent="0.25">
      <c r="A67" t="s">
        <v>90</v>
      </c>
      <c r="B67">
        <v>36305</v>
      </c>
      <c r="C67" s="6">
        <f>VLOOKUP(B67,'ER Contributions'!A:D,4,FALSE)</f>
        <v>1398034</v>
      </c>
      <c r="D67" s="7">
        <f>VLOOKUP(B67,'ER Contributions'!A:D,3,FALSE)</f>
        <v>8.7719999999999996E-4</v>
      </c>
      <c r="E67" s="9">
        <f>VLOOKUP(B67,'75 - Summary Exhibit'!A:N,3,FALSE)</f>
        <v>29834323</v>
      </c>
      <c r="F67" s="9">
        <f>VLOOKUP(B67,'75 - Summary Exhibit'!A:N,4,FALSE)</f>
        <v>243167</v>
      </c>
      <c r="G67" s="9">
        <f>VLOOKUP(B67,'75 - Summary Exhibit'!A:N,5,FALSE)</f>
        <v>127845</v>
      </c>
      <c r="H67" s="9">
        <f>VLOOKUP(B67,'75 - Summary Exhibit'!A:N,6,FALSE)</f>
        <v>7185323</v>
      </c>
      <c r="I67" s="6">
        <f>VLOOKUP(B67,'75 - Summary Exhibit'!A:N,7,FALSE)</f>
        <v>1848541</v>
      </c>
      <c r="J67" s="6">
        <f>VLOOKUP(B67,'75 - Summary Exhibit'!A:N,8,FALSE)</f>
        <v>0</v>
      </c>
      <c r="K67" s="6">
        <f>VLOOKUP(B67,'75 - Summary Exhibit'!A:N,9,FALSE)</f>
        <v>0</v>
      </c>
      <c r="L67" s="6">
        <f>VLOOKUP(B67,'75 - Summary Exhibit'!A:N,10,FALSE)</f>
        <v>3889787</v>
      </c>
      <c r="M67" s="6">
        <f>VLOOKUP(B67,'75 - Summary Exhibit'!A:N,11,FALSE)</f>
        <v>42891</v>
      </c>
      <c r="N67" s="6">
        <f>VLOOKUP(B67,'75 - Summary Exhibit'!A:N,12,FALSE)</f>
        <v>829758</v>
      </c>
      <c r="O67" s="6">
        <f>VLOOKUP(B67,'75 - Summary Exhibit'!A:N,13,FALSE)</f>
        <v>616602</v>
      </c>
      <c r="P67" s="6">
        <f t="shared" ref="P67:P80" si="25">N67+O67</f>
        <v>1446360</v>
      </c>
      <c r="Q67" s="6">
        <f>VLOOKUP(B67,'75- Deferred Amortization'!A:G,3,FALSE)</f>
        <v>466219</v>
      </c>
      <c r="R67" s="6">
        <f>VLOOKUP(B67,'75- Deferred Amortization'!A:G,4,FALSE)</f>
        <v>1320293</v>
      </c>
      <c r="S67" s="6">
        <f>VLOOKUP(B67,'75- Deferred Amortization'!A:G,5,FALSE)</f>
        <v>2181106</v>
      </c>
      <c r="T67" s="6">
        <f>VLOOKUP(B67,'75- Deferred Amortization'!A:G,6,FALSE)</f>
        <v>1504581</v>
      </c>
      <c r="U67" s="6">
        <f>VLOOKUP(B67,'75- Deferred Amortization'!A:G,7,FALSE)</f>
        <v>0</v>
      </c>
      <c r="V67" s="6">
        <f t="shared" si="14"/>
        <v>-2</v>
      </c>
      <c r="W67" s="6">
        <f t="shared" si="15"/>
        <v>-1</v>
      </c>
      <c r="X67">
        <v>2</v>
      </c>
      <c r="Z67" s="205">
        <f>VLOOKUP(B67,'Noncap Contr Alloc'!A:C,3,FALSE)</f>
        <v>9077</v>
      </c>
      <c r="AC67" s="9">
        <v>23017018</v>
      </c>
      <c r="AD67" s="9">
        <v>253462</v>
      </c>
      <c r="AE67" s="9">
        <v>183872</v>
      </c>
      <c r="AF67" s="9">
        <v>2493444</v>
      </c>
      <c r="AG67" s="6">
        <v>2037016</v>
      </c>
      <c r="AH67" s="6">
        <v>22552</v>
      </c>
      <c r="AI67" s="6">
        <v>0</v>
      </c>
      <c r="AJ67" s="6">
        <v>6140755</v>
      </c>
      <c r="AK67" s="6">
        <v>110343</v>
      </c>
      <c r="AM67" s="6">
        <f t="shared" si="16"/>
        <v>-188475</v>
      </c>
      <c r="AN67" s="6">
        <f t="shared" si="17"/>
        <v>-67452</v>
      </c>
      <c r="AO67" s="9">
        <f t="shared" si="18"/>
        <v>-10295</v>
      </c>
      <c r="AP67" s="6">
        <f t="shared" si="19"/>
        <v>-22552</v>
      </c>
      <c r="AQ67" s="9">
        <f t="shared" si="20"/>
        <v>4691879</v>
      </c>
      <c r="AR67" s="6">
        <f t="shared" si="21"/>
        <v>-2250968</v>
      </c>
      <c r="AS67" s="9">
        <f t="shared" si="22"/>
        <v>6817305</v>
      </c>
      <c r="AT67" s="9">
        <f t="shared" si="23"/>
        <v>-56027</v>
      </c>
      <c r="AU67" s="6">
        <f t="shared" si="24"/>
        <v>0</v>
      </c>
      <c r="AV67" s="238">
        <f t="shared" si="12"/>
        <v>29834323</v>
      </c>
    </row>
    <row r="68" spans="1:48" x14ac:dyDescent="0.25">
      <c r="A68" t="s">
        <v>55</v>
      </c>
      <c r="B68">
        <v>30405</v>
      </c>
      <c r="C68" s="6">
        <f>VLOOKUP(B68,'ER Contributions'!A:D,4,FALSE)</f>
        <v>988609</v>
      </c>
      <c r="D68" s="7">
        <f>VLOOKUP(B68,'ER Contributions'!A:D,3,FALSE)</f>
        <v>6.0619999999999999E-4</v>
      </c>
      <c r="E68" s="9">
        <f>VLOOKUP(B68,'75 - Summary Exhibit'!A:N,3,FALSE)</f>
        <v>20619524</v>
      </c>
      <c r="F68" s="9">
        <f>VLOOKUP(B68,'75 - Summary Exhibit'!A:N,4,FALSE)</f>
        <v>168061</v>
      </c>
      <c r="G68" s="9">
        <f>VLOOKUP(B68,'75 - Summary Exhibit'!A:N,5,FALSE)</f>
        <v>88358</v>
      </c>
      <c r="H68" s="9">
        <f>VLOOKUP(B68,'75 - Summary Exhibit'!A:N,6,FALSE)</f>
        <v>4966023</v>
      </c>
      <c r="I68" s="6">
        <f>VLOOKUP(B68,'75 - Summary Exhibit'!A:N,7,FALSE)</f>
        <v>372244</v>
      </c>
      <c r="J68" s="6">
        <f>VLOOKUP(B68,'75 - Summary Exhibit'!A:N,8,FALSE)</f>
        <v>0</v>
      </c>
      <c r="K68" s="6">
        <f>VLOOKUP(B68,'75 - Summary Exhibit'!A:N,9,FALSE)</f>
        <v>0</v>
      </c>
      <c r="L68" s="6">
        <f>VLOOKUP(B68,'75 - Summary Exhibit'!A:N,10,FALSE)</f>
        <v>2688365</v>
      </c>
      <c r="M68" s="6">
        <f>VLOOKUP(B68,'75 - Summary Exhibit'!A:N,11,FALSE)</f>
        <v>235694</v>
      </c>
      <c r="N68" s="6">
        <f>VLOOKUP(B68,'75 - Summary Exhibit'!A:N,12,FALSE)</f>
        <v>573475</v>
      </c>
      <c r="O68" s="6">
        <f>VLOOKUP(B68,'75 - Summary Exhibit'!A:N,13,FALSE)</f>
        <v>-491748</v>
      </c>
      <c r="P68" s="6">
        <f t="shared" si="25"/>
        <v>81727</v>
      </c>
      <c r="Q68" s="6">
        <f>VLOOKUP(B68,'75- Deferred Amortization'!A:G,3,FALSE)</f>
        <v>-75568</v>
      </c>
      <c r="R68" s="6">
        <f>VLOOKUP(B68,'75- Deferred Amortization'!A:G,4,FALSE)</f>
        <v>571081</v>
      </c>
      <c r="S68" s="6">
        <f>VLOOKUP(B68,'75- Deferred Amortization'!A:G,5,FALSE)</f>
        <v>1198876</v>
      </c>
      <c r="T68" s="6">
        <f>VLOOKUP(B68,'75- Deferred Amortization'!A:G,6,FALSE)</f>
        <v>976238</v>
      </c>
      <c r="U68" s="6">
        <f>VLOOKUP(B68,'75- Deferred Amortization'!A:G,7,FALSE)</f>
        <v>0</v>
      </c>
      <c r="V68" s="6">
        <f t="shared" ref="V68:V88" si="26">ROUND(((F68-AD68)+(G68-AE68)+(H68-AF68)+(I68-AG68)+(AI68-K68)+P68-(E68-AC68)-(J68-AH68)-(L68-AJ68)-(M68-AK68)-C68),0)-Z68</f>
        <v>0</v>
      </c>
      <c r="W68" s="6">
        <f t="shared" ref="W68:W88" si="27">ROUND((F68+G68+H68+I68-J68-K68-L68-M68-Q68-R68-S68-T68-U68),0)</f>
        <v>0</v>
      </c>
      <c r="X68">
        <v>2</v>
      </c>
      <c r="Z68" s="205">
        <f>VLOOKUP(B68,'Noncap Contr Alloc'!A:C,3,FALSE)</f>
        <v>6273</v>
      </c>
      <c r="AC68" s="9">
        <v>16206445</v>
      </c>
      <c r="AD68" s="9">
        <v>178465</v>
      </c>
      <c r="AE68" s="9">
        <v>129465</v>
      </c>
      <c r="AF68" s="9">
        <v>1755651</v>
      </c>
      <c r="AG68" s="6">
        <v>529128</v>
      </c>
      <c r="AH68" s="6">
        <v>15879</v>
      </c>
      <c r="AI68" s="6">
        <v>0</v>
      </c>
      <c r="AJ68" s="6">
        <v>4323749</v>
      </c>
      <c r="AK68" s="6">
        <v>908688</v>
      </c>
      <c r="AM68" s="6">
        <f t="shared" ref="AM68:AM85" si="28">I68-AG68</f>
        <v>-156884</v>
      </c>
      <c r="AN68" s="6">
        <f t="shared" ref="AN68:AN85" si="29">M68-AK68</f>
        <v>-672994</v>
      </c>
      <c r="AO68" s="9">
        <f t="shared" ref="AO68:AO88" si="30">F68-AD68</f>
        <v>-10404</v>
      </c>
      <c r="AP68" s="6">
        <f t="shared" ref="AP68:AP88" si="31">J68-AH68</f>
        <v>-15879</v>
      </c>
      <c r="AQ68" s="9">
        <f t="shared" ref="AQ68:AQ88" si="32">H68-AF68</f>
        <v>3210372</v>
      </c>
      <c r="AR68" s="6">
        <f t="shared" ref="AR68:AR88" si="33">L68-AJ68</f>
        <v>-1635384</v>
      </c>
      <c r="AS68" s="9">
        <f t="shared" ref="AS68:AS88" si="34">E68-AC68</f>
        <v>4413079</v>
      </c>
      <c r="AT68" s="9">
        <f t="shared" ref="AT68:AT88" si="35">G68-AE68</f>
        <v>-41107</v>
      </c>
      <c r="AU68" s="6">
        <f t="shared" ref="AU68:AU88" si="36">K68-AI68</f>
        <v>0</v>
      </c>
      <c r="AV68" s="238">
        <f t="shared" si="12"/>
        <v>20619524</v>
      </c>
    </row>
    <row r="69" spans="1:48" x14ac:dyDescent="0.25">
      <c r="A69" t="s">
        <v>66</v>
      </c>
      <c r="B69">
        <v>32405</v>
      </c>
      <c r="C69" s="6">
        <f>VLOOKUP(B69,'ER Contributions'!A:D,4,FALSE)</f>
        <v>695467</v>
      </c>
      <c r="D69" s="7">
        <f>VLOOKUP(B69,'ER Contributions'!A:D,3,FALSE)</f>
        <v>4.2489999999999997E-4</v>
      </c>
      <c r="E69" s="9">
        <f>VLOOKUP(B69,'75 - Summary Exhibit'!A:N,3,FALSE)</f>
        <v>14452014</v>
      </c>
      <c r="F69" s="9">
        <f>VLOOKUP(B69,'75 - Summary Exhibit'!A:N,4,FALSE)</f>
        <v>117792</v>
      </c>
      <c r="G69" s="9">
        <f>VLOOKUP(B69,'75 - Summary Exhibit'!A:N,5,FALSE)</f>
        <v>61929</v>
      </c>
      <c r="H69" s="9">
        <f>VLOOKUP(B69,'75 - Summary Exhibit'!A:N,6,FALSE)</f>
        <v>3480635</v>
      </c>
      <c r="I69" s="6">
        <f>VLOOKUP(B69,'75 - Summary Exhibit'!A:N,7,FALSE)</f>
        <v>451208</v>
      </c>
      <c r="J69" s="6">
        <f>VLOOKUP(B69,'75 - Summary Exhibit'!A:N,8,FALSE)</f>
        <v>0</v>
      </c>
      <c r="K69" s="6">
        <f>VLOOKUP(B69,'75 - Summary Exhibit'!A:N,9,FALSE)</f>
        <v>0</v>
      </c>
      <c r="L69" s="6">
        <f>VLOOKUP(B69,'75 - Summary Exhibit'!A:N,10,FALSE)</f>
        <v>1884248</v>
      </c>
      <c r="M69" s="6">
        <f>VLOOKUP(B69,'75 - Summary Exhibit'!A:N,11,FALSE)</f>
        <v>737738</v>
      </c>
      <c r="N69" s="6">
        <f>VLOOKUP(B69,'75 - Summary Exhibit'!A:N,12,FALSE)</f>
        <v>401942</v>
      </c>
      <c r="O69" s="6">
        <f>VLOOKUP(B69,'75 - Summary Exhibit'!A:N,13,FALSE)</f>
        <v>-382463</v>
      </c>
      <c r="P69" s="6">
        <f t="shared" si="25"/>
        <v>19479</v>
      </c>
      <c r="Q69" s="6">
        <f>VLOOKUP(B69,'75- Deferred Amortization'!A:G,3,FALSE)</f>
        <v>-435003</v>
      </c>
      <c r="R69" s="6">
        <f>VLOOKUP(B69,'75- Deferred Amortization'!A:G,4,FALSE)</f>
        <v>177999</v>
      </c>
      <c r="S69" s="6">
        <f>VLOOKUP(B69,'75- Deferred Amortization'!A:G,5,FALSE)</f>
        <v>1000475</v>
      </c>
      <c r="T69" s="6">
        <f>VLOOKUP(B69,'75- Deferred Amortization'!A:G,6,FALSE)</f>
        <v>746108</v>
      </c>
      <c r="U69" s="6">
        <f>VLOOKUP(B69,'75- Deferred Amortization'!A:G,7,FALSE)</f>
        <v>0</v>
      </c>
      <c r="V69" s="6">
        <f t="shared" si="26"/>
        <v>-2</v>
      </c>
      <c r="W69" s="6">
        <f t="shared" si="27"/>
        <v>-1</v>
      </c>
      <c r="X69">
        <v>2</v>
      </c>
      <c r="Z69" s="205">
        <f>VLOOKUP(B69,'Noncap Contr Alloc'!A:C,3,FALSE)</f>
        <v>4397</v>
      </c>
      <c r="AC69" s="9">
        <v>11089910</v>
      </c>
      <c r="AD69" s="9">
        <v>122122</v>
      </c>
      <c r="AE69" s="9">
        <v>88592</v>
      </c>
      <c r="AF69" s="9">
        <v>1201375</v>
      </c>
      <c r="AG69" s="6">
        <v>253408</v>
      </c>
      <c r="AH69" s="6">
        <v>10866</v>
      </c>
      <c r="AI69" s="6">
        <v>0</v>
      </c>
      <c r="AJ69" s="6">
        <v>2958698</v>
      </c>
      <c r="AK69" s="6">
        <v>1248842</v>
      </c>
      <c r="AM69" s="6">
        <f t="shared" si="28"/>
        <v>197800</v>
      </c>
      <c r="AN69" s="6">
        <f t="shared" si="29"/>
        <v>-511104</v>
      </c>
      <c r="AO69" s="9">
        <f t="shared" si="30"/>
        <v>-4330</v>
      </c>
      <c r="AP69" s="6">
        <f t="shared" si="31"/>
        <v>-10866</v>
      </c>
      <c r="AQ69" s="9">
        <f t="shared" si="32"/>
        <v>2279260</v>
      </c>
      <c r="AR69" s="6">
        <f t="shared" si="33"/>
        <v>-1074450</v>
      </c>
      <c r="AS69" s="9">
        <f t="shared" si="34"/>
        <v>3362104</v>
      </c>
      <c r="AT69" s="9">
        <f t="shared" si="35"/>
        <v>-26663</v>
      </c>
      <c r="AU69" s="6">
        <f t="shared" si="36"/>
        <v>0</v>
      </c>
      <c r="AV69" s="238">
        <f t="shared" ref="AV69:AV88" si="37">AC69+AS69</f>
        <v>14452014</v>
      </c>
    </row>
    <row r="70" spans="1:48" x14ac:dyDescent="0.25">
      <c r="A70" t="s">
        <v>81</v>
      </c>
      <c r="B70">
        <v>35005</v>
      </c>
      <c r="C70" s="6">
        <f>VLOOKUP(B70,'ER Contributions'!A:D,4,FALSE)</f>
        <v>778910</v>
      </c>
      <c r="D70" s="7">
        <f>VLOOKUP(B70,'ER Contributions'!A:D,3,FALSE)</f>
        <v>4.7160000000000002E-4</v>
      </c>
      <c r="E70" s="9">
        <f>VLOOKUP(B70,'75 - Summary Exhibit'!A:N,3,FALSE)</f>
        <v>16039480</v>
      </c>
      <c r="F70" s="9">
        <f>VLOOKUP(B70,'75 - Summary Exhibit'!A:N,4,FALSE)</f>
        <v>130731</v>
      </c>
      <c r="G70" s="9">
        <f>VLOOKUP(B70,'75 - Summary Exhibit'!A:N,5,FALSE)</f>
        <v>68732</v>
      </c>
      <c r="H70" s="9">
        <f>VLOOKUP(B70,'75 - Summary Exhibit'!A:N,6,FALSE)</f>
        <v>3862962</v>
      </c>
      <c r="I70" s="6">
        <f>VLOOKUP(B70,'75 - Summary Exhibit'!A:N,7,FALSE)</f>
        <v>33180</v>
      </c>
      <c r="J70" s="6">
        <f>VLOOKUP(B70,'75 - Summary Exhibit'!A:N,8,FALSE)</f>
        <v>0</v>
      </c>
      <c r="K70" s="6">
        <f>VLOOKUP(B70,'75 - Summary Exhibit'!A:N,9,FALSE)</f>
        <v>0</v>
      </c>
      <c r="L70" s="6">
        <f>VLOOKUP(B70,'75 - Summary Exhibit'!A:N,10,FALSE)</f>
        <v>2091221</v>
      </c>
      <c r="M70" s="6">
        <f>VLOOKUP(B70,'75 - Summary Exhibit'!A:N,11,FALSE)</f>
        <v>1532171</v>
      </c>
      <c r="N70" s="6">
        <f>VLOOKUP(B70,'75 - Summary Exhibit'!A:N,12,FALSE)</f>
        <v>446095</v>
      </c>
      <c r="O70" s="6">
        <f>VLOOKUP(B70,'75 - Summary Exhibit'!A:N,13,FALSE)</f>
        <v>-803352</v>
      </c>
      <c r="P70" s="6">
        <f t="shared" si="25"/>
        <v>-357257</v>
      </c>
      <c r="Q70" s="6">
        <f>VLOOKUP(B70,'75- Deferred Amortization'!A:G,3,FALSE)</f>
        <v>-782376</v>
      </c>
      <c r="R70" s="6">
        <f>VLOOKUP(B70,'75- Deferred Amortization'!A:G,4,FALSE)</f>
        <v>4121</v>
      </c>
      <c r="S70" s="6">
        <f>VLOOKUP(B70,'75- Deferred Amortization'!A:G,5,FALSE)</f>
        <v>699463</v>
      </c>
      <c r="T70" s="6">
        <f>VLOOKUP(B70,'75- Deferred Amortization'!A:G,6,FALSE)</f>
        <v>551005</v>
      </c>
      <c r="U70" s="6">
        <f>VLOOKUP(B70,'75- Deferred Amortization'!A:G,7,FALSE)</f>
        <v>0</v>
      </c>
      <c r="V70" s="6">
        <f t="shared" si="26"/>
        <v>2</v>
      </c>
      <c r="W70" s="6">
        <f t="shared" si="27"/>
        <v>0</v>
      </c>
      <c r="X70">
        <v>2</v>
      </c>
      <c r="Z70" s="205">
        <f>VLOOKUP(B70,'Noncap Contr Alloc'!A:C,3,FALSE)</f>
        <v>4880</v>
      </c>
      <c r="AC70" s="9">
        <v>13528952</v>
      </c>
      <c r="AD70" s="9">
        <v>148980</v>
      </c>
      <c r="AE70" s="9">
        <v>108076</v>
      </c>
      <c r="AF70" s="9">
        <v>1465597</v>
      </c>
      <c r="AG70" s="6">
        <v>49770</v>
      </c>
      <c r="AH70" s="6">
        <v>13256</v>
      </c>
      <c r="AI70" s="6">
        <v>0</v>
      </c>
      <c r="AJ70" s="6">
        <v>3609415</v>
      </c>
      <c r="AK70" s="6">
        <v>1329116</v>
      </c>
      <c r="AM70" s="6">
        <f t="shared" si="28"/>
        <v>-16590</v>
      </c>
      <c r="AN70" s="6">
        <f t="shared" si="29"/>
        <v>203055</v>
      </c>
      <c r="AO70" s="9">
        <f t="shared" si="30"/>
        <v>-18249</v>
      </c>
      <c r="AP70" s="6">
        <f t="shared" si="31"/>
        <v>-13256</v>
      </c>
      <c r="AQ70" s="9">
        <f t="shared" si="32"/>
        <v>2397365</v>
      </c>
      <c r="AR70" s="6">
        <f t="shared" si="33"/>
        <v>-1518194</v>
      </c>
      <c r="AS70" s="9">
        <f t="shared" si="34"/>
        <v>2510528</v>
      </c>
      <c r="AT70" s="9">
        <f t="shared" si="35"/>
        <v>-39344</v>
      </c>
      <c r="AU70" s="6">
        <f t="shared" si="36"/>
        <v>0</v>
      </c>
      <c r="AV70" s="238">
        <f t="shared" si="37"/>
        <v>16039480</v>
      </c>
    </row>
    <row r="71" spans="1:48" x14ac:dyDescent="0.25">
      <c r="A71" t="s">
        <v>105</v>
      </c>
      <c r="B71">
        <v>38405</v>
      </c>
      <c r="C71" s="6">
        <f>VLOOKUP(B71,'ER Contributions'!A:D,4,FALSE)</f>
        <v>884652</v>
      </c>
      <c r="D71" s="7">
        <f>VLOOKUP(B71,'ER Contributions'!A:D,3,FALSE)</f>
        <v>6.1620000000000002E-4</v>
      </c>
      <c r="E71" s="9">
        <f>VLOOKUP(B71,'75 - Summary Exhibit'!A:N,3,FALSE)</f>
        <v>20959255</v>
      </c>
      <c r="F71" s="9">
        <f>VLOOKUP(B71,'75 - Summary Exhibit'!A:N,4,FALSE)</f>
        <v>170830</v>
      </c>
      <c r="G71" s="9">
        <f>VLOOKUP(B71,'75 - Summary Exhibit'!A:N,5,FALSE)</f>
        <v>89814</v>
      </c>
      <c r="H71" s="9">
        <f>VLOOKUP(B71,'75 - Summary Exhibit'!A:N,6,FALSE)</f>
        <v>5047844</v>
      </c>
      <c r="I71" s="6">
        <f>VLOOKUP(B71,'75 - Summary Exhibit'!A:N,7,FALSE)</f>
        <v>392257</v>
      </c>
      <c r="J71" s="6">
        <f>VLOOKUP(B71,'75 - Summary Exhibit'!A:N,8,FALSE)</f>
        <v>0</v>
      </c>
      <c r="K71" s="6">
        <f>VLOOKUP(B71,'75 - Summary Exhibit'!A:N,9,FALSE)</f>
        <v>0</v>
      </c>
      <c r="L71" s="6">
        <f>VLOOKUP(B71,'75 - Summary Exhibit'!A:N,10,FALSE)</f>
        <v>2732659</v>
      </c>
      <c r="M71" s="6">
        <f>VLOOKUP(B71,'75 - Summary Exhibit'!A:N,11,FALSE)</f>
        <v>614714</v>
      </c>
      <c r="N71" s="6">
        <f>VLOOKUP(B71,'75 - Summary Exhibit'!A:N,12,FALSE)</f>
        <v>582925</v>
      </c>
      <c r="O71" s="6">
        <f>VLOOKUP(B71,'75 - Summary Exhibit'!A:N,13,FALSE)</f>
        <v>-640466</v>
      </c>
      <c r="P71" s="6">
        <f t="shared" si="25"/>
        <v>-57541</v>
      </c>
      <c r="Q71" s="6">
        <f>VLOOKUP(B71,'75- Deferred Amortization'!A:G,3,FALSE)</f>
        <v>-284796</v>
      </c>
      <c r="R71" s="6">
        <f>VLOOKUP(B71,'75- Deferred Amortization'!A:G,4,FALSE)</f>
        <v>369538</v>
      </c>
      <c r="S71" s="6">
        <f>VLOOKUP(B71,'75- Deferred Amortization'!A:G,5,FALSE)</f>
        <v>1332299</v>
      </c>
      <c r="T71" s="6">
        <f>VLOOKUP(B71,'75- Deferred Amortization'!A:G,6,FALSE)</f>
        <v>936331</v>
      </c>
      <c r="U71" s="6">
        <f>VLOOKUP(B71,'75- Deferred Amortization'!A:G,7,FALSE)</f>
        <v>0</v>
      </c>
      <c r="V71" s="6">
        <f t="shared" si="26"/>
        <v>2</v>
      </c>
      <c r="W71" s="6">
        <f t="shared" si="27"/>
        <v>0</v>
      </c>
      <c r="X71">
        <v>2</v>
      </c>
      <c r="Z71" s="205">
        <f>VLOOKUP(B71,'Noncap Contr Alloc'!A:C,3,FALSE)</f>
        <v>6376</v>
      </c>
      <c r="AC71" s="9">
        <v>16613508</v>
      </c>
      <c r="AD71" s="9">
        <v>182947</v>
      </c>
      <c r="AE71" s="9">
        <v>132717</v>
      </c>
      <c r="AF71" s="9">
        <v>1799749</v>
      </c>
      <c r="AG71" s="6">
        <v>528913</v>
      </c>
      <c r="AH71" s="6">
        <v>16278</v>
      </c>
      <c r="AI71" s="6">
        <v>0</v>
      </c>
      <c r="AJ71" s="6">
        <v>4432350</v>
      </c>
      <c r="AK71" s="6">
        <v>1136644</v>
      </c>
      <c r="AM71" s="6">
        <f t="shared" si="28"/>
        <v>-136656</v>
      </c>
      <c r="AN71" s="6">
        <f t="shared" si="29"/>
        <v>-521930</v>
      </c>
      <c r="AO71" s="9">
        <f t="shared" si="30"/>
        <v>-12117</v>
      </c>
      <c r="AP71" s="6">
        <f t="shared" si="31"/>
        <v>-16278</v>
      </c>
      <c r="AQ71" s="9">
        <f t="shared" si="32"/>
        <v>3248095</v>
      </c>
      <c r="AR71" s="6">
        <f t="shared" si="33"/>
        <v>-1699691</v>
      </c>
      <c r="AS71" s="9">
        <f t="shared" si="34"/>
        <v>4345747</v>
      </c>
      <c r="AT71" s="9">
        <f t="shared" si="35"/>
        <v>-42903</v>
      </c>
      <c r="AU71" s="6">
        <f t="shared" si="36"/>
        <v>0</v>
      </c>
      <c r="AV71" s="238">
        <f t="shared" si="37"/>
        <v>20959255</v>
      </c>
    </row>
    <row r="72" spans="1:48" x14ac:dyDescent="0.25">
      <c r="A72" t="s">
        <v>106</v>
      </c>
      <c r="B72">
        <v>38605</v>
      </c>
      <c r="C72" s="6">
        <f>VLOOKUP(B72,'ER Contributions'!A:D,4,FALSE)</f>
        <v>945800</v>
      </c>
      <c r="D72" s="7">
        <f>VLOOKUP(B72,'ER Contributions'!A:D,3,FALSE)</f>
        <v>6.0269999999999996E-4</v>
      </c>
      <c r="E72" s="9">
        <f>VLOOKUP(B72,'75 - Summary Exhibit'!A:N,3,FALSE)</f>
        <v>20500690</v>
      </c>
      <c r="F72" s="9">
        <f>VLOOKUP(B72,'75 - Summary Exhibit'!A:N,4,FALSE)</f>
        <v>167093</v>
      </c>
      <c r="G72" s="9">
        <f>VLOOKUP(B72,'75 - Summary Exhibit'!A:N,5,FALSE)</f>
        <v>87849</v>
      </c>
      <c r="H72" s="9">
        <f>VLOOKUP(B72,'75 - Summary Exhibit'!A:N,6,FALSE)</f>
        <v>4937403</v>
      </c>
      <c r="I72" s="6">
        <f>VLOOKUP(B72,'75 - Summary Exhibit'!A:N,7,FALSE)</f>
        <v>1198778</v>
      </c>
      <c r="J72" s="6">
        <f>VLOOKUP(B72,'75 - Summary Exhibit'!A:N,8,FALSE)</f>
        <v>0</v>
      </c>
      <c r="K72" s="6">
        <f>VLOOKUP(B72,'75 - Summary Exhibit'!A:N,9,FALSE)</f>
        <v>0</v>
      </c>
      <c r="L72" s="6">
        <f>VLOOKUP(B72,'75 - Summary Exhibit'!A:N,10,FALSE)</f>
        <v>2672871</v>
      </c>
      <c r="M72" s="6">
        <f>VLOOKUP(B72,'75 - Summary Exhibit'!A:N,11,FALSE)</f>
        <v>1490718</v>
      </c>
      <c r="N72" s="6">
        <f>VLOOKUP(B72,'75 - Summary Exhibit'!A:N,12,FALSE)</f>
        <v>570169</v>
      </c>
      <c r="O72" s="6">
        <f>VLOOKUP(B72,'75 - Summary Exhibit'!A:N,13,FALSE)</f>
        <v>-597608</v>
      </c>
      <c r="P72" s="6">
        <f t="shared" si="25"/>
        <v>-27439</v>
      </c>
      <c r="Q72" s="6">
        <f>VLOOKUP(B72,'75- Deferred Amortization'!A:G,3,FALSE)</f>
        <v>-437876</v>
      </c>
      <c r="R72" s="6">
        <f>VLOOKUP(B72,'75- Deferred Amortization'!A:G,4,FALSE)</f>
        <v>463106</v>
      </c>
      <c r="S72" s="6">
        <f>VLOOKUP(B72,'75- Deferred Amortization'!A:G,5,FALSE)</f>
        <v>1057757</v>
      </c>
      <c r="T72" s="6">
        <f>VLOOKUP(B72,'75- Deferred Amortization'!A:G,6,FALSE)</f>
        <v>1144547</v>
      </c>
      <c r="U72" s="6">
        <f>VLOOKUP(B72,'75- Deferred Amortization'!A:G,7,FALSE)</f>
        <v>0</v>
      </c>
      <c r="V72" s="6">
        <f t="shared" si="26"/>
        <v>0</v>
      </c>
      <c r="W72" s="6">
        <f t="shared" si="27"/>
        <v>0</v>
      </c>
      <c r="X72">
        <v>2</v>
      </c>
      <c r="Z72" s="205">
        <f>VLOOKUP(B72,'Noncap Contr Alloc'!A:C,3,FALSE)</f>
        <v>6237</v>
      </c>
      <c r="AC72" s="9">
        <v>15317921</v>
      </c>
      <c r="AD72" s="9">
        <v>168680</v>
      </c>
      <c r="AE72" s="9">
        <v>122367</v>
      </c>
      <c r="AF72" s="9">
        <v>1659397</v>
      </c>
      <c r="AG72" s="6">
        <v>725487</v>
      </c>
      <c r="AH72" s="6">
        <v>15008</v>
      </c>
      <c r="AI72" s="6">
        <v>0</v>
      </c>
      <c r="AJ72" s="6">
        <v>4086698</v>
      </c>
      <c r="AK72" s="6">
        <v>2508936</v>
      </c>
      <c r="AM72" s="6">
        <f t="shared" si="28"/>
        <v>473291</v>
      </c>
      <c r="AN72" s="6">
        <f t="shared" si="29"/>
        <v>-1018218</v>
      </c>
      <c r="AO72" s="9">
        <f t="shared" si="30"/>
        <v>-1587</v>
      </c>
      <c r="AP72" s="6">
        <f t="shared" si="31"/>
        <v>-15008</v>
      </c>
      <c r="AQ72" s="9">
        <f t="shared" si="32"/>
        <v>3278006</v>
      </c>
      <c r="AR72" s="6">
        <f t="shared" si="33"/>
        <v>-1413827</v>
      </c>
      <c r="AS72" s="9">
        <f t="shared" si="34"/>
        <v>5182769</v>
      </c>
      <c r="AT72" s="9">
        <f t="shared" si="35"/>
        <v>-34518</v>
      </c>
      <c r="AU72" s="6">
        <f t="shared" si="36"/>
        <v>0</v>
      </c>
      <c r="AV72" s="238">
        <f t="shared" si="37"/>
        <v>20500690</v>
      </c>
    </row>
    <row r="73" spans="1:48" x14ac:dyDescent="0.25">
      <c r="A73" t="s">
        <v>64</v>
      </c>
      <c r="B73">
        <v>32005</v>
      </c>
      <c r="C73" s="6">
        <f>VLOOKUP(B73,'ER Contributions'!A:D,4,FALSE)</f>
        <v>429149</v>
      </c>
      <c r="D73" s="7">
        <f>VLOOKUP(B73,'ER Contributions'!A:D,3,FALSE)</f>
        <v>3.3040000000000001E-4</v>
      </c>
      <c r="E73" s="9">
        <f>VLOOKUP(B73,'75 - Summary Exhibit'!A:N,3,FALSE)</f>
        <v>11239232</v>
      </c>
      <c r="F73" s="9">
        <f>VLOOKUP(B73,'75 - Summary Exhibit'!A:N,4,FALSE)</f>
        <v>91606</v>
      </c>
      <c r="G73" s="9">
        <f>VLOOKUP(B73,'75 - Summary Exhibit'!A:N,5,FALSE)</f>
        <v>48162</v>
      </c>
      <c r="H73" s="9">
        <f>VLOOKUP(B73,'75 - Summary Exhibit'!A:N,6,FALSE)</f>
        <v>2706866</v>
      </c>
      <c r="I73" s="6">
        <f>VLOOKUP(B73,'75 - Summary Exhibit'!A:N,7,FALSE)</f>
        <v>1149879</v>
      </c>
      <c r="J73" s="6">
        <f>VLOOKUP(B73,'75 - Summary Exhibit'!A:N,8,FALSE)</f>
        <v>0</v>
      </c>
      <c r="K73" s="6">
        <f>VLOOKUP(B73,'75 - Summary Exhibit'!A:N,9,FALSE)</f>
        <v>0</v>
      </c>
      <c r="L73" s="6">
        <f>VLOOKUP(B73,'75 - Summary Exhibit'!A:N,10,FALSE)</f>
        <v>1465366</v>
      </c>
      <c r="M73" s="6">
        <f>VLOOKUP(B73,'75 - Summary Exhibit'!A:N,11,FALSE)</f>
        <v>75957</v>
      </c>
      <c r="N73" s="6">
        <f>VLOOKUP(B73,'75 - Summary Exhibit'!A:N,12,FALSE)</f>
        <v>312589</v>
      </c>
      <c r="O73" s="6">
        <f>VLOOKUP(B73,'75 - Summary Exhibit'!A:N,13,FALSE)</f>
        <v>316674</v>
      </c>
      <c r="P73" s="6">
        <f t="shared" si="25"/>
        <v>629263</v>
      </c>
      <c r="Q73" s="6">
        <f>VLOOKUP(B73,'75- Deferred Amortization'!A:G,3,FALSE)</f>
        <v>395944</v>
      </c>
      <c r="R73" s="6">
        <f>VLOOKUP(B73,'75- Deferred Amortization'!A:G,4,FALSE)</f>
        <v>689691</v>
      </c>
      <c r="S73" s="6">
        <f>VLOOKUP(B73,'75- Deferred Amortization'!A:G,5,FALSE)</f>
        <v>746393</v>
      </c>
      <c r="T73" s="6">
        <f>VLOOKUP(B73,'75- Deferred Amortization'!A:G,6,FALSE)</f>
        <v>623161</v>
      </c>
      <c r="U73" s="6">
        <f>VLOOKUP(B73,'75- Deferred Amortization'!A:G,7,FALSE)</f>
        <v>0</v>
      </c>
      <c r="V73" s="6">
        <f t="shared" si="26"/>
        <v>1</v>
      </c>
      <c r="W73" s="6">
        <f t="shared" si="27"/>
        <v>1</v>
      </c>
      <c r="X73">
        <v>2</v>
      </c>
      <c r="Z73" s="205">
        <f>VLOOKUP(B73,'Noncap Contr Alloc'!A:C,3,FALSE)</f>
        <v>3419</v>
      </c>
      <c r="AC73" s="9">
        <v>8338430</v>
      </c>
      <c r="AD73" s="9">
        <v>91822</v>
      </c>
      <c r="AE73" s="9">
        <v>66612</v>
      </c>
      <c r="AF73" s="9">
        <v>903306</v>
      </c>
      <c r="AG73" s="6">
        <v>1168588</v>
      </c>
      <c r="AH73" s="6">
        <v>8170</v>
      </c>
      <c r="AI73" s="6">
        <v>0</v>
      </c>
      <c r="AJ73" s="6">
        <v>2224626</v>
      </c>
      <c r="AK73" s="6">
        <v>246450</v>
      </c>
      <c r="AM73" s="6">
        <f t="shared" si="28"/>
        <v>-18709</v>
      </c>
      <c r="AN73" s="6">
        <f t="shared" si="29"/>
        <v>-170493</v>
      </c>
      <c r="AO73" s="9">
        <f t="shared" si="30"/>
        <v>-216</v>
      </c>
      <c r="AP73" s="6">
        <f t="shared" si="31"/>
        <v>-8170</v>
      </c>
      <c r="AQ73" s="9">
        <f t="shared" si="32"/>
        <v>1803560</v>
      </c>
      <c r="AR73" s="6">
        <f t="shared" si="33"/>
        <v>-759260</v>
      </c>
      <c r="AS73" s="9">
        <f t="shared" si="34"/>
        <v>2900802</v>
      </c>
      <c r="AT73" s="9">
        <f t="shared" si="35"/>
        <v>-18450</v>
      </c>
      <c r="AU73" s="6">
        <f t="shared" si="36"/>
        <v>0</v>
      </c>
      <c r="AV73" s="238">
        <f t="shared" si="37"/>
        <v>11239232</v>
      </c>
    </row>
    <row r="74" spans="1:48" x14ac:dyDescent="0.25">
      <c r="A74" t="s">
        <v>107</v>
      </c>
      <c r="B74">
        <v>39105</v>
      </c>
      <c r="C74" s="6">
        <f>VLOOKUP(B74,'ER Contributions'!A:D,4,FALSE)</f>
        <v>979058</v>
      </c>
      <c r="D74" s="7">
        <f>VLOOKUP(B74,'ER Contributions'!A:D,3,FALSE)</f>
        <v>6.4440000000000005E-4</v>
      </c>
      <c r="E74" s="9">
        <f>VLOOKUP(B74,'75 - Summary Exhibit'!A:N,3,FALSE)</f>
        <v>21918512</v>
      </c>
      <c r="F74" s="9">
        <f>VLOOKUP(B74,'75 - Summary Exhibit'!A:N,4,FALSE)</f>
        <v>178649</v>
      </c>
      <c r="G74" s="9">
        <f>VLOOKUP(B74,'75 - Summary Exhibit'!A:N,5,FALSE)</f>
        <v>93924</v>
      </c>
      <c r="H74" s="9">
        <f>VLOOKUP(B74,'75 - Summary Exhibit'!A:N,6,FALSE)</f>
        <v>5278873</v>
      </c>
      <c r="I74" s="6">
        <f>VLOOKUP(B74,'75 - Summary Exhibit'!A:N,7,FALSE)</f>
        <v>1810951</v>
      </c>
      <c r="J74" s="6">
        <f>VLOOKUP(B74,'75 - Summary Exhibit'!A:N,8,FALSE)</f>
        <v>0</v>
      </c>
      <c r="K74" s="6">
        <f>VLOOKUP(B74,'75 - Summary Exhibit'!A:N,9,FALSE)</f>
        <v>0</v>
      </c>
      <c r="L74" s="6">
        <f>VLOOKUP(B74,'75 - Summary Exhibit'!A:N,10,FALSE)</f>
        <v>2857726</v>
      </c>
      <c r="M74" s="6">
        <f>VLOOKUP(B74,'75 - Summary Exhibit'!A:N,11,FALSE)</f>
        <v>967519</v>
      </c>
      <c r="N74" s="6">
        <f>VLOOKUP(B74,'75 - Summary Exhibit'!A:N,12,FALSE)</f>
        <v>609603</v>
      </c>
      <c r="O74" s="6">
        <f>VLOOKUP(B74,'75 - Summary Exhibit'!A:N,13,FALSE)</f>
        <v>-995893</v>
      </c>
      <c r="P74" s="6">
        <f t="shared" si="25"/>
        <v>-386290</v>
      </c>
      <c r="Q74" s="6">
        <f>VLOOKUP(B74,'75- Deferred Amortization'!A:G,3,FALSE)</f>
        <v>-223252</v>
      </c>
      <c r="R74" s="6">
        <f>VLOOKUP(B74,'75- Deferred Amortization'!A:G,4,FALSE)</f>
        <v>643963</v>
      </c>
      <c r="S74" s="6">
        <f>VLOOKUP(B74,'75- Deferred Amortization'!A:G,5,FALSE)</f>
        <v>1774252</v>
      </c>
      <c r="T74" s="6">
        <f>VLOOKUP(B74,'75- Deferred Amortization'!A:G,6,FALSE)</f>
        <v>1342188</v>
      </c>
      <c r="U74" s="6">
        <f>VLOOKUP(B74,'75- Deferred Amortization'!A:G,7,FALSE)</f>
        <v>0</v>
      </c>
      <c r="V74" s="6">
        <f t="shared" si="26"/>
        <v>2</v>
      </c>
      <c r="W74" s="6">
        <f t="shared" si="27"/>
        <v>1</v>
      </c>
      <c r="X74">
        <v>2</v>
      </c>
      <c r="Z74" s="205">
        <f>VLOOKUP(B74,'Noncap Contr Alloc'!A:C,3,FALSE)</f>
        <v>6668</v>
      </c>
      <c r="AC74" s="9">
        <v>15829640</v>
      </c>
      <c r="AD74" s="9">
        <v>174315</v>
      </c>
      <c r="AE74" s="9">
        <v>126455</v>
      </c>
      <c r="AF74" s="9">
        <v>1714832</v>
      </c>
      <c r="AG74" s="6">
        <v>787471</v>
      </c>
      <c r="AH74" s="6">
        <v>15510</v>
      </c>
      <c r="AI74" s="6">
        <v>0</v>
      </c>
      <c r="AJ74" s="6">
        <v>4223220</v>
      </c>
      <c r="AK74" s="6">
        <v>2488081</v>
      </c>
      <c r="AM74" s="6">
        <f t="shared" si="28"/>
        <v>1023480</v>
      </c>
      <c r="AN74" s="6">
        <f t="shared" si="29"/>
        <v>-1520562</v>
      </c>
      <c r="AO74" s="9">
        <f t="shared" si="30"/>
        <v>4334</v>
      </c>
      <c r="AP74" s="6">
        <f t="shared" si="31"/>
        <v>-15510</v>
      </c>
      <c r="AQ74" s="9">
        <f t="shared" si="32"/>
        <v>3564041</v>
      </c>
      <c r="AR74" s="6">
        <f t="shared" si="33"/>
        <v>-1365494</v>
      </c>
      <c r="AS74" s="9">
        <f t="shared" si="34"/>
        <v>6088872</v>
      </c>
      <c r="AT74" s="9">
        <f t="shared" si="35"/>
        <v>-32531</v>
      </c>
      <c r="AU74" s="6">
        <f t="shared" si="36"/>
        <v>0</v>
      </c>
      <c r="AV74" s="238">
        <f t="shared" si="37"/>
        <v>21918512</v>
      </c>
    </row>
    <row r="75" spans="1:48" x14ac:dyDescent="0.25">
      <c r="A75" t="s">
        <v>108</v>
      </c>
      <c r="B75">
        <v>39205</v>
      </c>
      <c r="C75" s="6">
        <f>VLOOKUP(B75,'ER Contributions'!A:D,4,FALSE)</f>
        <v>7815611</v>
      </c>
      <c r="D75" s="7">
        <f>VLOOKUP(B75,'ER Contributions'!A:D,3,FALSE)</f>
        <v>5.0972999999999999E-3</v>
      </c>
      <c r="E75" s="9">
        <f>VLOOKUP(B75,'75 - Summary Exhibit'!A:N,3,FALSE)</f>
        <v>173371077</v>
      </c>
      <c r="F75" s="9">
        <f>VLOOKUP(B75,'75 - Summary Exhibit'!A:N,4,FALSE)</f>
        <v>1413076</v>
      </c>
      <c r="G75" s="9">
        <f>VLOOKUP(B75,'75 - Summary Exhibit'!A:N,5,FALSE)</f>
        <v>742923</v>
      </c>
      <c r="H75" s="9">
        <f>VLOOKUP(B75,'75 - Summary Exhibit'!A:N,6,FALSE)</f>
        <v>41754834</v>
      </c>
      <c r="I75" s="6">
        <f>VLOOKUP(B75,'75 - Summary Exhibit'!A:N,7,FALSE)</f>
        <v>8443101</v>
      </c>
      <c r="J75" s="6">
        <f>VLOOKUP(B75,'75 - Summary Exhibit'!A:N,8,FALSE)</f>
        <v>0</v>
      </c>
      <c r="K75" s="6">
        <f>VLOOKUP(B75,'75 - Summary Exhibit'!A:N,9,FALSE)</f>
        <v>0</v>
      </c>
      <c r="L75" s="6">
        <f>VLOOKUP(B75,'75 - Summary Exhibit'!A:N,10,FALSE)</f>
        <v>22604049</v>
      </c>
      <c r="M75" s="6">
        <f>VLOOKUP(B75,'75 - Summary Exhibit'!A:N,11,FALSE)</f>
        <v>1386306</v>
      </c>
      <c r="N75" s="6">
        <f>VLOOKUP(B75,'75 - Summary Exhibit'!A:N,12,FALSE)</f>
        <v>4821836</v>
      </c>
      <c r="O75" s="6">
        <f>VLOOKUP(B75,'75 - Summary Exhibit'!A:N,13,FALSE)</f>
        <v>2814848</v>
      </c>
      <c r="P75" s="6">
        <f t="shared" si="25"/>
        <v>7636684</v>
      </c>
      <c r="Q75" s="6">
        <f>VLOOKUP(B75,'75- Deferred Amortization'!A:G,3,FALSE)</f>
        <v>1162210</v>
      </c>
      <c r="R75" s="6">
        <f>VLOOKUP(B75,'75- Deferred Amortization'!A:G,4,FALSE)</f>
        <v>6634043</v>
      </c>
      <c r="S75" s="6">
        <f>VLOOKUP(B75,'75- Deferred Amortization'!A:G,5,FALSE)</f>
        <v>12104277</v>
      </c>
      <c r="T75" s="6">
        <f>VLOOKUP(B75,'75- Deferred Amortization'!A:G,6,FALSE)</f>
        <v>8463050</v>
      </c>
      <c r="U75" s="6">
        <f>VLOOKUP(B75,'75- Deferred Amortization'!A:G,7,FALSE)</f>
        <v>0</v>
      </c>
      <c r="V75" s="6">
        <f t="shared" si="26"/>
        <v>0</v>
      </c>
      <c r="W75" s="6">
        <f t="shared" si="27"/>
        <v>-1</v>
      </c>
      <c r="X75">
        <v>2</v>
      </c>
      <c r="Z75" s="205">
        <f>VLOOKUP(B75,'Noncap Contr Alloc'!A:C,3,FALSE)</f>
        <v>52747</v>
      </c>
      <c r="AC75" s="9">
        <v>134713039</v>
      </c>
      <c r="AD75" s="9">
        <v>1483454</v>
      </c>
      <c r="AE75" s="9">
        <v>1076157</v>
      </c>
      <c r="AF75" s="9">
        <v>14593523</v>
      </c>
      <c r="AG75" s="6">
        <v>10851509</v>
      </c>
      <c r="AH75" s="6">
        <v>131992</v>
      </c>
      <c r="AI75" s="6">
        <v>0</v>
      </c>
      <c r="AJ75" s="6">
        <v>35940352</v>
      </c>
      <c r="AK75" s="6">
        <v>2458432</v>
      </c>
      <c r="AM75" s="6">
        <f t="shared" si="28"/>
        <v>-2408408</v>
      </c>
      <c r="AN75" s="6">
        <f t="shared" si="29"/>
        <v>-1072126</v>
      </c>
      <c r="AO75" s="9">
        <f t="shared" si="30"/>
        <v>-70378</v>
      </c>
      <c r="AP75" s="6">
        <f t="shared" si="31"/>
        <v>-131992</v>
      </c>
      <c r="AQ75" s="9">
        <f t="shared" si="32"/>
        <v>27161311</v>
      </c>
      <c r="AR75" s="6">
        <f t="shared" si="33"/>
        <v>-13336303</v>
      </c>
      <c r="AS75" s="9">
        <f t="shared" si="34"/>
        <v>38658038</v>
      </c>
      <c r="AT75" s="9">
        <f t="shared" si="35"/>
        <v>-333234</v>
      </c>
      <c r="AU75" s="6">
        <f t="shared" si="36"/>
        <v>0</v>
      </c>
      <c r="AV75" s="238">
        <f t="shared" si="37"/>
        <v>173371077</v>
      </c>
    </row>
    <row r="76" spans="1:48" x14ac:dyDescent="0.25">
      <c r="A76" t="s">
        <v>109</v>
      </c>
      <c r="B76">
        <v>39605</v>
      </c>
      <c r="C76" s="6">
        <f>VLOOKUP(B76,'ER Contributions'!A:D,4,FALSE)</f>
        <v>1082172</v>
      </c>
      <c r="D76" s="7">
        <f>VLOOKUP(B76,'ER Contributions'!A:D,3,FALSE)</f>
        <v>7.2360000000000002E-4</v>
      </c>
      <c r="E76" s="9">
        <f>VLOOKUP(B76,'75 - Summary Exhibit'!A:N,3,FALSE)</f>
        <v>24610507</v>
      </c>
      <c r="F76" s="9">
        <f>VLOOKUP(B76,'75 - Summary Exhibit'!A:N,4,FALSE)</f>
        <v>200590</v>
      </c>
      <c r="G76" s="9">
        <f>VLOOKUP(B76,'75 - Summary Exhibit'!A:N,5,FALSE)</f>
        <v>105460</v>
      </c>
      <c r="H76" s="9">
        <f>VLOOKUP(B76,'75 - Summary Exhibit'!A:N,6,FALSE)</f>
        <v>5927215</v>
      </c>
      <c r="I76" s="6">
        <f>VLOOKUP(B76,'75 - Summary Exhibit'!A:N,7,FALSE)</f>
        <v>324306</v>
      </c>
      <c r="J76" s="6">
        <f>VLOOKUP(B76,'75 - Summary Exhibit'!A:N,8,FALSE)</f>
        <v>0</v>
      </c>
      <c r="K76" s="6">
        <f>VLOOKUP(B76,'75 - Summary Exhibit'!A:N,9,FALSE)</f>
        <v>0</v>
      </c>
      <c r="L76" s="6">
        <f>VLOOKUP(B76,'75 - Summary Exhibit'!A:N,10,FALSE)</f>
        <v>3208708</v>
      </c>
      <c r="M76" s="6">
        <f>VLOOKUP(B76,'75 - Summary Exhibit'!A:N,11,FALSE)</f>
        <v>2192555</v>
      </c>
      <c r="N76" s="6">
        <f>VLOOKUP(B76,'75 - Summary Exhibit'!A:N,12,FALSE)</f>
        <v>684471</v>
      </c>
      <c r="O76" s="6">
        <f>VLOOKUP(B76,'75 - Summary Exhibit'!A:N,13,FALSE)</f>
        <v>-778751</v>
      </c>
      <c r="P76" s="6">
        <f t="shared" si="25"/>
        <v>-94280</v>
      </c>
      <c r="Q76" s="6">
        <f>VLOOKUP(B76,'75- Deferred Amortization'!A:G,3,FALSE)</f>
        <v>-733469</v>
      </c>
      <c r="R76" s="6">
        <f>VLOOKUP(B76,'75- Deferred Amortization'!A:G,4,FALSE)</f>
        <v>46612</v>
      </c>
      <c r="S76" s="6">
        <f>VLOOKUP(B76,'75- Deferred Amortization'!A:G,5,FALSE)</f>
        <v>913485</v>
      </c>
      <c r="T76" s="6">
        <f>VLOOKUP(B76,'75- Deferred Amortization'!A:G,6,FALSE)</f>
        <v>929680</v>
      </c>
      <c r="U76" s="6">
        <f>VLOOKUP(B76,'75- Deferred Amortization'!A:G,7,FALSE)</f>
        <v>0</v>
      </c>
      <c r="V76" s="6">
        <f t="shared" si="26"/>
        <v>-2</v>
      </c>
      <c r="W76" s="6">
        <f t="shared" si="27"/>
        <v>0</v>
      </c>
      <c r="X76">
        <v>2</v>
      </c>
      <c r="Z76" s="205">
        <f>VLOOKUP(B76,'Noncap Contr Alloc'!A:C,3,FALSE)</f>
        <v>7488</v>
      </c>
      <c r="AC76" s="9">
        <v>20290062</v>
      </c>
      <c r="AD76" s="9">
        <v>223433</v>
      </c>
      <c r="AE76" s="9">
        <v>162087</v>
      </c>
      <c r="AF76" s="9">
        <v>2198031</v>
      </c>
      <c r="AG76" s="6">
        <v>486459</v>
      </c>
      <c r="AH76" s="6">
        <v>19880</v>
      </c>
      <c r="AI76" s="6">
        <v>0</v>
      </c>
      <c r="AJ76" s="6">
        <v>5413225</v>
      </c>
      <c r="AK76" s="6">
        <v>1984980</v>
      </c>
      <c r="AM76" s="6">
        <f t="shared" si="28"/>
        <v>-162153</v>
      </c>
      <c r="AN76" s="6">
        <f t="shared" si="29"/>
        <v>207575</v>
      </c>
      <c r="AO76" s="9">
        <f t="shared" si="30"/>
        <v>-22843</v>
      </c>
      <c r="AP76" s="6">
        <f t="shared" si="31"/>
        <v>-19880</v>
      </c>
      <c r="AQ76" s="9">
        <f t="shared" si="32"/>
        <v>3729184</v>
      </c>
      <c r="AR76" s="6">
        <f t="shared" si="33"/>
        <v>-2204517</v>
      </c>
      <c r="AS76" s="9">
        <f t="shared" si="34"/>
        <v>4320445</v>
      </c>
      <c r="AT76" s="9">
        <f t="shared" si="35"/>
        <v>-56627</v>
      </c>
      <c r="AU76" s="6">
        <f t="shared" si="36"/>
        <v>0</v>
      </c>
      <c r="AV76" s="238">
        <f t="shared" si="37"/>
        <v>24610507</v>
      </c>
    </row>
    <row r="77" spans="1:48" x14ac:dyDescent="0.25">
      <c r="A77" t="s">
        <v>60</v>
      </c>
      <c r="B77">
        <v>31205</v>
      </c>
      <c r="C77" s="6">
        <f>VLOOKUP(B77,'ER Contributions'!A:D,4,FALSE)</f>
        <v>665670</v>
      </c>
      <c r="D77" s="7">
        <f>VLOOKUP(B77,'ER Contributions'!A:D,3,FALSE)</f>
        <v>4.0039999999999997E-4</v>
      </c>
      <c r="E77" s="9">
        <f>VLOOKUP(B77,'75 - Summary Exhibit'!A:N,3,FALSE)</f>
        <v>13617280</v>
      </c>
      <c r="F77" s="9">
        <f>VLOOKUP(B77,'75 - Summary Exhibit'!A:N,4,FALSE)</f>
        <v>110989</v>
      </c>
      <c r="G77" s="9">
        <f>VLOOKUP(B77,'75 - Summary Exhibit'!A:N,5,FALSE)</f>
        <v>58352</v>
      </c>
      <c r="H77" s="9">
        <f>VLOOKUP(B77,'75 - Summary Exhibit'!A:N,6,FALSE)</f>
        <v>3279597</v>
      </c>
      <c r="I77" s="6">
        <f>VLOOKUP(B77,'75 - Summary Exhibit'!A:N,7,FALSE)</f>
        <v>286423</v>
      </c>
      <c r="J77" s="6">
        <f>VLOOKUP(B77,'75 - Summary Exhibit'!A:N,8,FALSE)</f>
        <v>0</v>
      </c>
      <c r="K77" s="6">
        <f>VLOOKUP(B77,'75 - Summary Exhibit'!A:N,9,FALSE)</f>
        <v>0</v>
      </c>
      <c r="L77" s="6">
        <f>VLOOKUP(B77,'75 - Summary Exhibit'!A:N,10,FALSE)</f>
        <v>1775415</v>
      </c>
      <c r="M77" s="6">
        <f>VLOOKUP(B77,'75 - Summary Exhibit'!A:N,11,FALSE)</f>
        <v>280856</v>
      </c>
      <c r="N77" s="6">
        <f>VLOOKUP(B77,'75 - Summary Exhibit'!A:N,12,FALSE)</f>
        <v>378729</v>
      </c>
      <c r="O77" s="6">
        <f>VLOOKUP(B77,'75 - Summary Exhibit'!A:N,13,FALSE)</f>
        <v>-264229</v>
      </c>
      <c r="P77" s="6">
        <f t="shared" si="25"/>
        <v>114500</v>
      </c>
      <c r="Q77" s="6">
        <f>VLOOKUP(B77,'75- Deferred Amortization'!A:G,3,FALSE)</f>
        <v>-165094</v>
      </c>
      <c r="R77" s="6">
        <f>VLOOKUP(B77,'75- Deferred Amortization'!A:G,4,FALSE)</f>
        <v>393362</v>
      </c>
      <c r="S77" s="6">
        <f>VLOOKUP(B77,'75- Deferred Amortization'!A:G,5,FALSE)</f>
        <v>832488</v>
      </c>
      <c r="T77" s="6">
        <f>VLOOKUP(B77,'75- Deferred Amortization'!A:G,6,FALSE)</f>
        <v>618334</v>
      </c>
      <c r="U77" s="6">
        <f>VLOOKUP(B77,'75- Deferred Amortization'!A:G,7,FALSE)</f>
        <v>0</v>
      </c>
      <c r="V77" s="6">
        <f t="shared" si="26"/>
        <v>3</v>
      </c>
      <c r="W77" s="6">
        <f t="shared" si="27"/>
        <v>0</v>
      </c>
      <c r="X77">
        <v>2</v>
      </c>
      <c r="Z77" s="205">
        <f>VLOOKUP(B77,'Noncap Contr Alloc'!A:C,3,FALSE)</f>
        <v>4143</v>
      </c>
      <c r="AC77" s="9">
        <v>10829719</v>
      </c>
      <c r="AD77" s="9">
        <v>119256</v>
      </c>
      <c r="AE77" s="9">
        <v>86513</v>
      </c>
      <c r="AF77" s="9">
        <v>1173188</v>
      </c>
      <c r="AG77" s="6">
        <v>412549</v>
      </c>
      <c r="AH77" s="6">
        <v>10611</v>
      </c>
      <c r="AI77" s="6">
        <v>0</v>
      </c>
      <c r="AJ77" s="6">
        <v>2889282</v>
      </c>
      <c r="AK77" s="6">
        <v>555400</v>
      </c>
      <c r="AM77" s="6">
        <f t="shared" si="28"/>
        <v>-126126</v>
      </c>
      <c r="AN77" s="6">
        <f t="shared" si="29"/>
        <v>-274544</v>
      </c>
      <c r="AO77" s="9">
        <f t="shared" si="30"/>
        <v>-8267</v>
      </c>
      <c r="AP77" s="6">
        <f t="shared" si="31"/>
        <v>-10611</v>
      </c>
      <c r="AQ77" s="9">
        <f t="shared" si="32"/>
        <v>2106409</v>
      </c>
      <c r="AR77" s="6">
        <f t="shared" si="33"/>
        <v>-1113867</v>
      </c>
      <c r="AS77" s="9">
        <f t="shared" si="34"/>
        <v>2787561</v>
      </c>
      <c r="AT77" s="9">
        <f t="shared" si="35"/>
        <v>-28161</v>
      </c>
      <c r="AU77" s="6">
        <f t="shared" si="36"/>
        <v>0</v>
      </c>
      <c r="AV77" s="238">
        <f t="shared" si="37"/>
        <v>13617280</v>
      </c>
    </row>
    <row r="78" spans="1:48" x14ac:dyDescent="0.25">
      <c r="A78" t="s">
        <v>110</v>
      </c>
      <c r="B78">
        <v>39705</v>
      </c>
      <c r="C78" s="6">
        <f>VLOOKUP(B78,'ER Contributions'!A:D,4,FALSE)</f>
        <v>1105311</v>
      </c>
      <c r="D78" s="7">
        <f>VLOOKUP(B78,'ER Contributions'!A:D,3,FALSE)</f>
        <v>8.3140000000000004E-4</v>
      </c>
      <c r="E78" s="9">
        <f>VLOOKUP(B78,'75 - Summary Exhibit'!A:N,3,FALSE)</f>
        <v>28277737</v>
      </c>
      <c r="F78" s="9">
        <f>VLOOKUP(B78,'75 - Summary Exhibit'!A:N,4,FALSE)</f>
        <v>230480</v>
      </c>
      <c r="G78" s="9">
        <f>VLOOKUP(B78,'75 - Summary Exhibit'!A:N,5,FALSE)</f>
        <v>121175</v>
      </c>
      <c r="H78" s="9">
        <f>VLOOKUP(B78,'75 - Summary Exhibit'!A:N,6,FALSE)</f>
        <v>6810434</v>
      </c>
      <c r="I78" s="6">
        <f>VLOOKUP(B78,'75 - Summary Exhibit'!A:N,7,FALSE)</f>
        <v>1452390</v>
      </c>
      <c r="J78" s="6">
        <f>VLOOKUP(B78,'75 - Summary Exhibit'!A:N,8,FALSE)</f>
        <v>0</v>
      </c>
      <c r="K78" s="6">
        <f>VLOOKUP(B78,'75 - Summary Exhibit'!A:N,9,FALSE)</f>
        <v>0</v>
      </c>
      <c r="L78" s="6">
        <f>VLOOKUP(B78,'75 - Summary Exhibit'!A:N,10,FALSE)</f>
        <v>3686840</v>
      </c>
      <c r="M78" s="6">
        <f>VLOOKUP(B78,'75 - Summary Exhibit'!A:N,11,FALSE)</f>
        <v>77978</v>
      </c>
      <c r="N78" s="6">
        <f>VLOOKUP(B78,'75 - Summary Exhibit'!A:N,12,FALSE)</f>
        <v>786468</v>
      </c>
      <c r="O78" s="6">
        <f>VLOOKUP(B78,'75 - Summary Exhibit'!A:N,13,FALSE)</f>
        <v>428156</v>
      </c>
      <c r="P78" s="6">
        <f t="shared" si="25"/>
        <v>1214624</v>
      </c>
      <c r="Q78" s="6">
        <f>VLOOKUP(B78,'75- Deferred Amortization'!A:G,3,FALSE)</f>
        <v>285010</v>
      </c>
      <c r="R78" s="6">
        <f>VLOOKUP(B78,'75- Deferred Amortization'!A:G,4,FALSE)</f>
        <v>1069215</v>
      </c>
      <c r="S78" s="6">
        <f>VLOOKUP(B78,'75- Deferred Amortization'!A:G,5,FALSE)</f>
        <v>2052258</v>
      </c>
      <c r="T78" s="6">
        <f>VLOOKUP(B78,'75- Deferred Amortization'!A:G,6,FALSE)</f>
        <v>1443178</v>
      </c>
      <c r="U78" s="6">
        <f>VLOOKUP(B78,'75- Deferred Amortization'!A:G,7,FALSE)</f>
        <v>0</v>
      </c>
      <c r="V78" s="6">
        <f t="shared" si="26"/>
        <v>2</v>
      </c>
      <c r="W78" s="6">
        <f t="shared" si="27"/>
        <v>0</v>
      </c>
      <c r="X78">
        <v>2</v>
      </c>
      <c r="Z78" s="205">
        <f>VLOOKUP(B78,'Noncap Contr Alloc'!A:C,3,FALSE)</f>
        <v>8603</v>
      </c>
      <c r="AC78" s="9">
        <v>21548444</v>
      </c>
      <c r="AD78" s="9">
        <v>237291</v>
      </c>
      <c r="AE78" s="9">
        <v>172140</v>
      </c>
      <c r="AF78" s="9">
        <v>2334352</v>
      </c>
      <c r="AG78" s="6">
        <v>1394669</v>
      </c>
      <c r="AH78" s="6">
        <v>21113</v>
      </c>
      <c r="AI78" s="6">
        <v>0</v>
      </c>
      <c r="AJ78" s="6">
        <v>5748951</v>
      </c>
      <c r="AK78" s="6">
        <v>147312</v>
      </c>
      <c r="AM78" s="6">
        <f t="shared" si="28"/>
        <v>57721</v>
      </c>
      <c r="AN78" s="6">
        <f t="shared" si="29"/>
        <v>-69334</v>
      </c>
      <c r="AO78" s="9">
        <f t="shared" si="30"/>
        <v>-6811</v>
      </c>
      <c r="AP78" s="6">
        <f t="shared" si="31"/>
        <v>-21113</v>
      </c>
      <c r="AQ78" s="9">
        <f t="shared" si="32"/>
        <v>4476082</v>
      </c>
      <c r="AR78" s="6">
        <f t="shared" si="33"/>
        <v>-2062111</v>
      </c>
      <c r="AS78" s="9">
        <f t="shared" si="34"/>
        <v>6729293</v>
      </c>
      <c r="AT78" s="9">
        <f t="shared" si="35"/>
        <v>-50965</v>
      </c>
      <c r="AU78" s="6">
        <f t="shared" si="36"/>
        <v>0</v>
      </c>
      <c r="AV78" s="238">
        <f t="shared" si="37"/>
        <v>28277737</v>
      </c>
    </row>
    <row r="79" spans="1:48" x14ac:dyDescent="0.25">
      <c r="A79" t="s">
        <v>111</v>
      </c>
      <c r="B79">
        <v>39805</v>
      </c>
      <c r="C79" s="6">
        <f>VLOOKUP(B79,'ER Contributions'!A:D,4,FALSE)</f>
        <v>604375</v>
      </c>
      <c r="D79" s="7">
        <f>VLOOKUP(B79,'ER Contributions'!A:D,3,FALSE)</f>
        <v>4.2049999999999998E-4</v>
      </c>
      <c r="E79" s="9">
        <f>VLOOKUP(B79,'75 - Summary Exhibit'!A:N,3,FALSE)</f>
        <v>14303964</v>
      </c>
      <c r="F79" s="9">
        <f>VLOOKUP(B79,'75 - Summary Exhibit'!A:N,4,FALSE)</f>
        <v>116586</v>
      </c>
      <c r="G79" s="9">
        <f>VLOOKUP(B79,'75 - Summary Exhibit'!A:N,5,FALSE)</f>
        <v>61295</v>
      </c>
      <c r="H79" s="9">
        <f>VLOOKUP(B79,'75 - Summary Exhibit'!A:N,6,FALSE)</f>
        <v>3444979</v>
      </c>
      <c r="I79" s="6">
        <f>VLOOKUP(B79,'75 - Summary Exhibit'!A:N,7,FALSE)</f>
        <v>898421</v>
      </c>
      <c r="J79" s="6">
        <f>VLOOKUP(B79,'75 - Summary Exhibit'!A:N,8,FALSE)</f>
        <v>0</v>
      </c>
      <c r="K79" s="6">
        <f>VLOOKUP(B79,'75 - Summary Exhibit'!A:N,9,FALSE)</f>
        <v>0</v>
      </c>
      <c r="L79" s="6">
        <f>VLOOKUP(B79,'75 - Summary Exhibit'!A:N,10,FALSE)</f>
        <v>1864945</v>
      </c>
      <c r="M79" s="6">
        <f>VLOOKUP(B79,'75 - Summary Exhibit'!A:N,11,FALSE)</f>
        <v>335516</v>
      </c>
      <c r="N79" s="6">
        <f>VLOOKUP(B79,'75 - Summary Exhibit'!A:N,12,FALSE)</f>
        <v>397826</v>
      </c>
      <c r="O79" s="6">
        <f>VLOOKUP(B79,'75 - Summary Exhibit'!A:N,13,FALSE)</f>
        <v>113475</v>
      </c>
      <c r="P79" s="6">
        <f t="shared" si="25"/>
        <v>511301</v>
      </c>
      <c r="Q79" s="6">
        <f>VLOOKUP(B79,'75- Deferred Amortization'!A:G,3,FALSE)</f>
        <v>-78716</v>
      </c>
      <c r="R79" s="6">
        <f>VLOOKUP(B79,'75- Deferred Amortization'!A:G,4,FALSE)</f>
        <v>501541</v>
      </c>
      <c r="S79" s="6">
        <f>VLOOKUP(B79,'75- Deferred Amortization'!A:G,5,FALSE)</f>
        <v>1058576</v>
      </c>
      <c r="T79" s="6">
        <f>VLOOKUP(B79,'75- Deferred Amortization'!A:G,6,FALSE)</f>
        <v>839418</v>
      </c>
      <c r="U79" s="6">
        <f>VLOOKUP(B79,'75- Deferred Amortization'!A:G,7,FALSE)</f>
        <v>0</v>
      </c>
      <c r="V79" s="6">
        <f t="shared" si="26"/>
        <v>3</v>
      </c>
      <c r="W79" s="6">
        <f t="shared" si="27"/>
        <v>1</v>
      </c>
      <c r="X79">
        <v>2</v>
      </c>
      <c r="Z79" s="205">
        <f>VLOOKUP(B79,'Noncap Contr Alloc'!A:C,3,FALSE)</f>
        <v>4351</v>
      </c>
      <c r="AC79" s="9">
        <v>10460069</v>
      </c>
      <c r="AD79" s="9">
        <v>115186</v>
      </c>
      <c r="AE79" s="9">
        <v>83560</v>
      </c>
      <c r="AF79" s="9">
        <v>1133144</v>
      </c>
      <c r="AG79" s="6">
        <v>447461</v>
      </c>
      <c r="AH79" s="6">
        <v>10249</v>
      </c>
      <c r="AI79" s="6">
        <v>0</v>
      </c>
      <c r="AJ79" s="6">
        <v>2790662</v>
      </c>
      <c r="AK79" s="6">
        <v>598943</v>
      </c>
      <c r="AM79" s="6">
        <f t="shared" si="28"/>
        <v>450960</v>
      </c>
      <c r="AN79" s="6">
        <f t="shared" si="29"/>
        <v>-263427</v>
      </c>
      <c r="AO79" s="9">
        <f t="shared" si="30"/>
        <v>1400</v>
      </c>
      <c r="AP79" s="6">
        <f t="shared" si="31"/>
        <v>-10249</v>
      </c>
      <c r="AQ79" s="9">
        <f t="shared" si="32"/>
        <v>2311835</v>
      </c>
      <c r="AR79" s="6">
        <f t="shared" si="33"/>
        <v>-925717</v>
      </c>
      <c r="AS79" s="9">
        <f t="shared" si="34"/>
        <v>3843895</v>
      </c>
      <c r="AT79" s="9">
        <f t="shared" si="35"/>
        <v>-22265</v>
      </c>
      <c r="AU79" s="6">
        <f t="shared" si="36"/>
        <v>0</v>
      </c>
      <c r="AV79" s="238">
        <f t="shared" si="37"/>
        <v>14303964</v>
      </c>
    </row>
    <row r="80" spans="1:48" x14ac:dyDescent="0.25">
      <c r="A80" t="s">
        <v>112</v>
      </c>
      <c r="B80">
        <v>11310</v>
      </c>
      <c r="C80" s="6">
        <f>VLOOKUP(B80,'ER Contributions'!A:D,4,FALSE)</f>
        <v>843989</v>
      </c>
      <c r="D80" s="7">
        <f>VLOOKUP(B80,'ER Contributions'!A:D,3,FALSE)</f>
        <v>5.128E-4</v>
      </c>
      <c r="E80" s="9">
        <f>VLOOKUP(B80,'75 - Summary Exhibit'!A:N,3,FALSE)</f>
        <v>17442632</v>
      </c>
      <c r="F80" s="9">
        <f>VLOOKUP(B80,'75 - Summary Exhibit'!A:N,4,FALSE)</f>
        <v>142168</v>
      </c>
      <c r="G80" s="9">
        <f>VLOOKUP(B80,'75 - Summary Exhibit'!A:N,5,FALSE)</f>
        <v>74745</v>
      </c>
      <c r="H80" s="9">
        <f>VLOOKUP(B80,'75 - Summary Exhibit'!A:N,6,FALSE)</f>
        <v>4200898</v>
      </c>
      <c r="I80" s="6">
        <f>VLOOKUP(B80,'75 - Summary Exhibit'!A:N,7,FALSE)</f>
        <v>879250</v>
      </c>
      <c r="J80" s="6">
        <f>VLOOKUP(B80,'75 - Summary Exhibit'!A:N,8,FALSE)</f>
        <v>0</v>
      </c>
      <c r="K80" s="6">
        <f>VLOOKUP(B80,'75 - Summary Exhibit'!A:N,9,FALSE)</f>
        <v>0</v>
      </c>
      <c r="L80" s="6">
        <f>VLOOKUP(B80,'75 - Summary Exhibit'!A:N,10,FALSE)</f>
        <v>2274163</v>
      </c>
      <c r="M80" s="6">
        <f>VLOOKUP(B80,'75 - Summary Exhibit'!A:N,11,FALSE)</f>
        <v>215070</v>
      </c>
      <c r="N80" s="6">
        <f>VLOOKUP(B80,'75 - Summary Exhibit'!A:N,12,FALSE)</f>
        <v>485118</v>
      </c>
      <c r="O80" s="6">
        <f>VLOOKUP(B80,'75 - Summary Exhibit'!A:N,13,FALSE)</f>
        <v>357322</v>
      </c>
      <c r="P80" s="6">
        <f t="shared" si="25"/>
        <v>842440</v>
      </c>
      <c r="Q80" s="6">
        <f>VLOOKUP(B80,'75- Deferred Amortization'!A:G,3,FALSE)</f>
        <v>202848</v>
      </c>
      <c r="R80" s="6">
        <f>VLOOKUP(B80,'75- Deferred Amortization'!A:G,4,FALSE)</f>
        <v>628432</v>
      </c>
      <c r="S80" s="6">
        <f>VLOOKUP(B80,'75- Deferred Amortization'!A:G,5,FALSE)</f>
        <v>1067700</v>
      </c>
      <c r="T80" s="6">
        <f>VLOOKUP(B80,'75- Deferred Amortization'!A:G,6,FALSE)</f>
        <v>908847</v>
      </c>
      <c r="U80" s="6">
        <f>VLOOKUP(B80,'75- Deferred Amortization'!A:G,7,FALSE)</f>
        <v>0</v>
      </c>
      <c r="V80" s="6">
        <f t="shared" si="26"/>
        <v>1</v>
      </c>
      <c r="W80" s="6">
        <f t="shared" si="27"/>
        <v>1</v>
      </c>
      <c r="X80">
        <v>3</v>
      </c>
      <c r="Z80" s="205">
        <f>VLOOKUP(B80,'Noncap Contr Alloc'!A:C,3,FALSE)</f>
        <v>5306</v>
      </c>
      <c r="AC80" s="9">
        <v>13352253</v>
      </c>
      <c r="AD80" s="9">
        <v>147034</v>
      </c>
      <c r="AE80" s="9">
        <v>106665</v>
      </c>
      <c r="AF80" s="9">
        <v>1446455</v>
      </c>
      <c r="AG80" s="6">
        <v>872555</v>
      </c>
      <c r="AH80" s="6">
        <v>13083</v>
      </c>
      <c r="AI80" s="6">
        <v>0</v>
      </c>
      <c r="AJ80" s="6">
        <v>3562273</v>
      </c>
      <c r="AK80" s="6">
        <v>286760</v>
      </c>
      <c r="AM80" s="6">
        <f t="shared" si="28"/>
        <v>6695</v>
      </c>
      <c r="AN80" s="6">
        <f t="shared" si="29"/>
        <v>-71690</v>
      </c>
      <c r="AO80" s="9">
        <f t="shared" si="30"/>
        <v>-4866</v>
      </c>
      <c r="AP80" s="6">
        <f t="shared" si="31"/>
        <v>-13083</v>
      </c>
      <c r="AQ80" s="9">
        <f t="shared" si="32"/>
        <v>2754443</v>
      </c>
      <c r="AR80" s="6">
        <f t="shared" si="33"/>
        <v>-1288110</v>
      </c>
      <c r="AS80" s="9">
        <f t="shared" si="34"/>
        <v>4090379</v>
      </c>
      <c r="AT80" s="9">
        <f t="shared" si="35"/>
        <v>-31920</v>
      </c>
      <c r="AU80" s="6">
        <f t="shared" si="36"/>
        <v>0</v>
      </c>
      <c r="AV80" s="238">
        <f t="shared" si="37"/>
        <v>17442632</v>
      </c>
    </row>
    <row r="81" spans="1:48" x14ac:dyDescent="0.25">
      <c r="A81" s="137" t="s">
        <v>167</v>
      </c>
      <c r="B81" s="138">
        <v>14300.2</v>
      </c>
      <c r="C81" s="139">
        <f>VLOOKUP(B81,'ER Contributions'!A:D,4,FALSE)</f>
        <v>278642</v>
      </c>
      <c r="D81" s="141">
        <f>VLOOKUP(B81,'ER Contributions'!A:D,3,FALSE)</f>
        <v>1.5699999999999999E-4</v>
      </c>
      <c r="E81" s="140">
        <f>VLOOKUP(B81,'75 - Summary Exhibit'!A:N,3,FALSE)</f>
        <v>5339619</v>
      </c>
      <c r="F81" s="140">
        <f>VLOOKUP(B81,'75 - Summary Exhibit'!A:N,4,FALSE)</f>
        <v>43521</v>
      </c>
      <c r="G81" s="140">
        <f>VLOOKUP(B81,'75 - Summary Exhibit'!A:N,5,FALSE)</f>
        <v>22881</v>
      </c>
      <c r="H81" s="140">
        <f>VLOOKUP(B81,'75 - Summary Exhibit'!A:N,6,FALSE)</f>
        <v>1285998</v>
      </c>
      <c r="I81" s="139">
        <f>VLOOKUP(B81,'75 - Summary Exhibit'!A:N,7,FALSE)</f>
        <v>438973</v>
      </c>
      <c r="J81" s="139">
        <f>VLOOKUP(B81,'75 - Summary Exhibit'!A:N,8,FALSE)</f>
        <v>0</v>
      </c>
      <c r="K81" s="139">
        <f>VLOOKUP(B81,'75 - Summary Exhibit'!A:N,9,FALSE)</f>
        <v>0</v>
      </c>
      <c r="L81" s="139">
        <f>VLOOKUP(B81,'75 - Summary Exhibit'!A:N,10,FALSE)</f>
        <v>696177</v>
      </c>
      <c r="M81" s="139">
        <f>VLOOKUP(B81,'75 - Summary Exhibit'!A:N,11,FALSE)</f>
        <v>751526</v>
      </c>
      <c r="N81" s="139">
        <f>VLOOKUP(B81,'75 - Summary Exhibit'!A:N,12,FALSE)</f>
        <v>148507</v>
      </c>
      <c r="O81" s="139">
        <f>VLOOKUP(B81,'75 - Summary Exhibit'!A:N,13,FALSE)</f>
        <v>141594</v>
      </c>
      <c r="P81" s="139">
        <f>N81+O81</f>
        <v>290101</v>
      </c>
      <c r="Q81" s="139">
        <f>VLOOKUP(B81,'75- Deferred Amortization'!A:G,3,FALSE)</f>
        <v>87088</v>
      </c>
      <c r="R81" s="139">
        <f>VLOOKUP(B81,'75- Deferred Amortization'!A:G,4,FALSE)</f>
        <v>-121482</v>
      </c>
      <c r="S81" s="139">
        <f>VLOOKUP(B81,'75- Deferred Amortization'!A:G,5,FALSE)</f>
        <v>238523</v>
      </c>
      <c r="T81" s="139">
        <f>VLOOKUP(B81,'75- Deferred Amortization'!A:G,6,FALSE)</f>
        <v>139541</v>
      </c>
      <c r="U81" s="139">
        <f>VLOOKUP(B81,'75- Deferred Amortization'!A:G,7,FALSE)</f>
        <v>0</v>
      </c>
      <c r="V81" s="139">
        <f t="shared" si="26"/>
        <v>0</v>
      </c>
      <c r="W81" s="139">
        <f t="shared" si="27"/>
        <v>0</v>
      </c>
      <c r="X81" s="138">
        <v>3</v>
      </c>
      <c r="Y81" s="138"/>
      <c r="Z81" s="205">
        <f>VLOOKUP(B81,'Noncap Contr Alloc'!A:C,3,FALSE)</f>
        <v>1625</v>
      </c>
      <c r="AA81" s="138"/>
      <c r="AB81" s="138"/>
      <c r="AC81" s="140">
        <v>4713242</v>
      </c>
      <c r="AD81" s="140">
        <v>51902</v>
      </c>
      <c r="AE81" s="140">
        <v>37652</v>
      </c>
      <c r="AF81" s="140">
        <v>510588</v>
      </c>
      <c r="AG81" s="139">
        <v>844329</v>
      </c>
      <c r="AH81" s="139">
        <v>4618</v>
      </c>
      <c r="AI81" s="139">
        <v>0</v>
      </c>
      <c r="AJ81" s="139">
        <v>1257455</v>
      </c>
      <c r="AK81" s="139">
        <v>455271</v>
      </c>
      <c r="AL81" s="138"/>
      <c r="AM81" s="139">
        <f t="shared" si="28"/>
        <v>-405356</v>
      </c>
      <c r="AN81" s="139">
        <f t="shared" si="29"/>
        <v>296255</v>
      </c>
      <c r="AO81" s="140">
        <f t="shared" si="30"/>
        <v>-8381</v>
      </c>
      <c r="AP81" s="139">
        <f t="shared" si="31"/>
        <v>-4618</v>
      </c>
      <c r="AQ81" s="140">
        <f t="shared" si="32"/>
        <v>775410</v>
      </c>
      <c r="AR81" s="139">
        <f t="shared" si="33"/>
        <v>-561278</v>
      </c>
      <c r="AS81" s="140">
        <f t="shared" si="34"/>
        <v>626377</v>
      </c>
      <c r="AT81" s="9">
        <f t="shared" si="35"/>
        <v>-14771</v>
      </c>
      <c r="AU81" s="6">
        <f t="shared" si="36"/>
        <v>0</v>
      </c>
      <c r="AV81" s="238">
        <f t="shared" si="37"/>
        <v>5339619</v>
      </c>
    </row>
    <row r="82" spans="1:48" x14ac:dyDescent="0.25">
      <c r="A82" s="137" t="s">
        <v>424</v>
      </c>
      <c r="B82" s="138">
        <v>21525</v>
      </c>
      <c r="C82" s="139">
        <f>VLOOKUP(B82,'ER Contributions'!A:D,4,FALSE)</f>
        <v>2793529</v>
      </c>
      <c r="D82" s="141">
        <f>VLOOKUP(B82,'ER Contributions'!A:D,3,FALSE)</f>
        <v>1.9189999999999999E-3</v>
      </c>
      <c r="E82" s="140">
        <f>VLOOKUP(B82,'75 - Summary Exhibit'!A:N,3,FALSE)</f>
        <v>65271163</v>
      </c>
      <c r="F82" s="140">
        <f>VLOOKUP(B82,'75 - Summary Exhibit'!A:N,4,FALSE)</f>
        <v>531998</v>
      </c>
      <c r="G82" s="140">
        <f>VLOOKUP(B82,'75 - Summary Exhibit'!A:N,5,FALSE)</f>
        <v>279698</v>
      </c>
      <c r="H82" s="140">
        <f>VLOOKUP(B82,'75 - Summary Exhibit'!A:N,6,FALSE)</f>
        <v>15719961</v>
      </c>
      <c r="I82" s="139">
        <f>VLOOKUP(B82,'75 - Summary Exhibit'!A:N,7,FALSE)</f>
        <v>4734033</v>
      </c>
      <c r="J82" s="139">
        <f>VLOOKUP(B82,'75 - Summary Exhibit'!A:N,8,FALSE)</f>
        <v>0</v>
      </c>
      <c r="K82" s="139">
        <f>VLOOKUP(B82,'75 - Summary Exhibit'!A:N,9,FALSE)</f>
        <v>0</v>
      </c>
      <c r="L82" s="139">
        <f>VLOOKUP(B82,'75 - Summary Exhibit'!A:N,10,FALSE)</f>
        <v>8510027</v>
      </c>
      <c r="M82" s="139">
        <f>VLOOKUP(B82,'75 - Summary Exhibit'!A:N,11,FALSE)</f>
        <v>612435</v>
      </c>
      <c r="N82" s="139">
        <f>VLOOKUP(B82,'75 - Summary Exhibit'!A:N,12,FALSE)</f>
        <v>1815337</v>
      </c>
      <c r="O82" s="139">
        <f>VLOOKUP(B82,'75 - Summary Exhibit'!A:N,13,FALSE)</f>
        <v>2122223</v>
      </c>
      <c r="P82" s="139">
        <f>N82+O82</f>
        <v>3937560</v>
      </c>
      <c r="Q82" s="139">
        <f>VLOOKUP(B82,'75- Deferred Amortization'!A:G,3,FALSE)</f>
        <v>1591547</v>
      </c>
      <c r="R82" s="139">
        <f>VLOOKUP(B82,'75- Deferred Amortization'!A:G,4,FALSE)</f>
        <v>3051330</v>
      </c>
      <c r="S82" s="139">
        <f>VLOOKUP(B82,'75- Deferred Amortization'!A:G,5,FALSE)</f>
        <v>4079454</v>
      </c>
      <c r="T82" s="139">
        <f>VLOOKUP(B82,'75- Deferred Amortization'!A:G,6,FALSE)</f>
        <v>3420897</v>
      </c>
      <c r="U82" s="139">
        <f>VLOOKUP(B82,'75- Deferred Amortization'!A:G,7,FALSE)</f>
        <v>0</v>
      </c>
      <c r="V82" s="139">
        <f t="shared" si="26"/>
        <v>1</v>
      </c>
      <c r="W82" s="139">
        <f t="shared" si="27"/>
        <v>0</v>
      </c>
      <c r="X82" s="140">
        <v>1</v>
      </c>
      <c r="Y82" s="161"/>
      <c r="Z82" s="205">
        <f>VLOOKUP(B82,'Noncap Contr Alloc'!A:C,3,FALSE)</f>
        <v>19858</v>
      </c>
      <c r="AA82" s="138"/>
      <c r="AB82" s="138"/>
      <c r="AC82" s="140">
        <v>49557498</v>
      </c>
      <c r="AD82" s="140">
        <v>545725</v>
      </c>
      <c r="AE82" s="140">
        <v>395891</v>
      </c>
      <c r="AF82" s="140">
        <v>5368586</v>
      </c>
      <c r="AG82" s="139">
        <v>5330209</v>
      </c>
      <c r="AH82" s="139">
        <v>48556</v>
      </c>
      <c r="AI82" s="139">
        <v>0</v>
      </c>
      <c r="AJ82" s="139">
        <v>13221540</v>
      </c>
      <c r="AK82" s="139">
        <v>816580</v>
      </c>
      <c r="AL82" s="138"/>
      <c r="AM82" s="139">
        <f t="shared" si="28"/>
        <v>-596176</v>
      </c>
      <c r="AN82" s="139">
        <f t="shared" si="29"/>
        <v>-204145</v>
      </c>
      <c r="AO82" s="140">
        <f t="shared" si="30"/>
        <v>-13727</v>
      </c>
      <c r="AP82" s="139">
        <f t="shared" si="31"/>
        <v>-48556</v>
      </c>
      <c r="AQ82" s="140">
        <f t="shared" si="32"/>
        <v>10351375</v>
      </c>
      <c r="AR82" s="139">
        <f t="shared" si="33"/>
        <v>-4711513</v>
      </c>
      <c r="AS82" s="140">
        <f t="shared" si="34"/>
        <v>15713665</v>
      </c>
      <c r="AT82" s="9">
        <f t="shared" si="35"/>
        <v>-116193</v>
      </c>
      <c r="AU82" s="6">
        <f t="shared" si="36"/>
        <v>0</v>
      </c>
      <c r="AV82" s="238">
        <f t="shared" si="37"/>
        <v>65271163</v>
      </c>
    </row>
    <row r="83" spans="1:48" x14ac:dyDescent="0.25">
      <c r="A83" s="137" t="s">
        <v>161</v>
      </c>
      <c r="B83" s="138">
        <v>21525.200000000001</v>
      </c>
      <c r="C83" s="139">
        <f>VLOOKUP(B83,'ER Contributions'!A:D,4,FALSE)</f>
        <v>364268</v>
      </c>
      <c r="D83" s="141">
        <f>VLOOKUP(B83,'ER Contributions'!A:D,3,FALSE)</f>
        <v>2.096E-4</v>
      </c>
      <c r="E83" s="140">
        <f>VLOOKUP(B83,'75 - Summary Exhibit'!A:N,3,FALSE)</f>
        <v>7127447</v>
      </c>
      <c r="F83" s="140">
        <f>VLOOKUP(B83,'75 - Summary Exhibit'!A:N,4,FALSE)</f>
        <v>58093</v>
      </c>
      <c r="G83" s="140">
        <f>VLOOKUP(B83,'75 - Summary Exhibit'!A:N,5,FALSE)</f>
        <v>30542</v>
      </c>
      <c r="H83" s="140">
        <f>VLOOKUP(B83,'75 - Summary Exhibit'!A:N,6,FALSE)</f>
        <v>1716580</v>
      </c>
      <c r="I83" s="139">
        <f>VLOOKUP(B83,'75 - Summary Exhibit'!A:N,7,FALSE)</f>
        <v>1190381</v>
      </c>
      <c r="J83" s="139">
        <f>VLOOKUP(B83,'75 - Summary Exhibit'!A:N,8,FALSE)</f>
        <v>0</v>
      </c>
      <c r="K83" s="139">
        <f>VLOOKUP(B83,'75 - Summary Exhibit'!A:N,9,FALSE)</f>
        <v>0</v>
      </c>
      <c r="L83" s="139">
        <f>VLOOKUP(B83,'75 - Summary Exhibit'!A:N,10,FALSE)</f>
        <v>929274</v>
      </c>
      <c r="M83" s="139">
        <f>VLOOKUP(B83,'75 - Summary Exhibit'!A:N,11,FALSE)</f>
        <v>0</v>
      </c>
      <c r="N83" s="139">
        <f>VLOOKUP(B83,'75 - Summary Exhibit'!A:N,12,FALSE)</f>
        <v>198230</v>
      </c>
      <c r="O83" s="139">
        <f>VLOOKUP(B83,'75 - Summary Exhibit'!A:N,13,FALSE)</f>
        <v>543403</v>
      </c>
      <c r="P83" s="139">
        <f>N83+O83</f>
        <v>741633</v>
      </c>
      <c r="Q83" s="139">
        <f>VLOOKUP(B83,'75- Deferred Amortization'!A:G,3,FALSE)</f>
        <v>523785</v>
      </c>
      <c r="R83" s="139">
        <f>VLOOKUP(B83,'75- Deferred Amortization'!A:G,4,FALSE)</f>
        <v>581015</v>
      </c>
      <c r="S83" s="139">
        <f>VLOOKUP(B83,'75- Deferred Amortization'!A:G,5,FALSE)</f>
        <v>602564</v>
      </c>
      <c r="T83" s="139">
        <f>VLOOKUP(B83,'75- Deferred Amortization'!A:G,6,FALSE)</f>
        <v>358959</v>
      </c>
      <c r="U83" s="139">
        <f>VLOOKUP(B83,'75- Deferred Amortization'!A:G,7,FALSE)</f>
        <v>0</v>
      </c>
      <c r="V83" s="139">
        <f t="shared" si="26"/>
        <v>-2</v>
      </c>
      <c r="W83" s="139">
        <f t="shared" si="27"/>
        <v>-1</v>
      </c>
      <c r="X83" s="138">
        <v>3</v>
      </c>
      <c r="Y83" s="161"/>
      <c r="Z83" s="205">
        <f>VLOOKUP(B83,'Noncap Contr Alloc'!A:C,3,FALSE)</f>
        <v>2169</v>
      </c>
      <c r="AA83" s="138"/>
      <c r="AB83" s="138"/>
      <c r="AC83" s="140">
        <v>5527470</v>
      </c>
      <c r="AD83" s="140">
        <v>60868</v>
      </c>
      <c r="AE83" s="140">
        <v>44156</v>
      </c>
      <c r="AF83" s="140">
        <v>598793</v>
      </c>
      <c r="AG83" s="139">
        <v>1640001</v>
      </c>
      <c r="AH83" s="139">
        <v>5416</v>
      </c>
      <c r="AI83" s="139">
        <v>0</v>
      </c>
      <c r="AJ83" s="139">
        <v>1474684</v>
      </c>
      <c r="AK83" s="139">
        <v>22175</v>
      </c>
      <c r="AL83" s="138"/>
      <c r="AM83" s="139">
        <f t="shared" si="28"/>
        <v>-449620</v>
      </c>
      <c r="AN83" s="139">
        <f t="shared" si="29"/>
        <v>-22175</v>
      </c>
      <c r="AO83" s="140">
        <f t="shared" si="30"/>
        <v>-2775</v>
      </c>
      <c r="AP83" s="139">
        <f t="shared" si="31"/>
        <v>-5416</v>
      </c>
      <c r="AQ83" s="140">
        <f t="shared" si="32"/>
        <v>1117787</v>
      </c>
      <c r="AR83" s="139">
        <f t="shared" si="33"/>
        <v>-545410</v>
      </c>
      <c r="AS83" s="140">
        <f t="shared" si="34"/>
        <v>1599977</v>
      </c>
      <c r="AT83" s="9">
        <f t="shared" si="35"/>
        <v>-13614</v>
      </c>
      <c r="AU83" s="6">
        <f t="shared" si="36"/>
        <v>0</v>
      </c>
      <c r="AV83" s="238">
        <f t="shared" si="37"/>
        <v>7127447</v>
      </c>
    </row>
    <row r="84" spans="1:48" x14ac:dyDescent="0.25">
      <c r="A84" s="137" t="s">
        <v>169</v>
      </c>
      <c r="B84" s="138">
        <v>51000.2</v>
      </c>
      <c r="C84" s="139">
        <f>VLOOKUP(B84,'ER Contributions'!A:D,4,FALSE)</f>
        <v>94612</v>
      </c>
      <c r="D84" s="141">
        <f>VLOOKUP(B84,'ER Contributions'!A:D,3,FALSE)</f>
        <v>4.5899999999999998E-5</v>
      </c>
      <c r="E84" s="140">
        <f>VLOOKUP(B84,'75 - Summary Exhibit'!A:N,3,FALSE)</f>
        <v>1562256</v>
      </c>
      <c r="F84" s="140">
        <f>VLOOKUP(B84,'75 - Summary Exhibit'!A:N,4,FALSE)</f>
        <v>12733</v>
      </c>
      <c r="G84" s="140">
        <f>VLOOKUP(B84,'75 - Summary Exhibit'!A:N,5,FALSE)</f>
        <v>6695</v>
      </c>
      <c r="H84" s="140">
        <f>VLOOKUP(B84,'75 - Summary Exhibit'!A:N,6,FALSE)</f>
        <v>376255</v>
      </c>
      <c r="I84" s="139">
        <f>VLOOKUP(B84,'75 - Summary Exhibit'!A:N,7,FALSE)</f>
        <v>643482</v>
      </c>
      <c r="J84" s="139">
        <f>VLOOKUP(B84,'75 - Summary Exhibit'!A:N,8,FALSE)</f>
        <v>0</v>
      </c>
      <c r="K84" s="139">
        <f>VLOOKUP(B84,'75 - Summary Exhibit'!A:N,9,FALSE)</f>
        <v>0</v>
      </c>
      <c r="L84" s="139">
        <f>VLOOKUP(B84,'75 - Summary Exhibit'!A:N,10,FALSE)</f>
        <v>203686</v>
      </c>
      <c r="M84" s="139">
        <f>VLOOKUP(B84,'75 - Summary Exhibit'!A:N,11,FALSE)</f>
        <v>150624</v>
      </c>
      <c r="N84" s="139">
        <f>VLOOKUP(B84,'75 - Summary Exhibit'!A:N,12,FALSE)</f>
        <v>43448</v>
      </c>
      <c r="O84" s="139">
        <f>VLOOKUP(B84,'75 - Summary Exhibit'!A:N,13,FALSE)</f>
        <v>214348</v>
      </c>
      <c r="P84" s="139">
        <f>N84+O84</f>
        <v>257796</v>
      </c>
      <c r="Q84" s="139">
        <f>VLOOKUP(B84,'75- Deferred Amortization'!A:G,3,FALSE)</f>
        <v>141638</v>
      </c>
      <c r="R84" s="139">
        <f>VLOOKUP(B84,'75- Deferred Amortization'!A:G,4,FALSE)</f>
        <v>227402</v>
      </c>
      <c r="S84" s="139">
        <f>VLOOKUP(B84,'75- Deferred Amortization'!A:G,5,FALSE)</f>
        <v>150342</v>
      </c>
      <c r="T84" s="139">
        <f>VLOOKUP(B84,'75- Deferred Amortization'!A:G,6,FALSE)</f>
        <v>165472</v>
      </c>
      <c r="U84" s="139">
        <f>VLOOKUP(B84,'75- Deferred Amortization'!A:G,7,FALSE)</f>
        <v>0</v>
      </c>
      <c r="V84" s="139">
        <f t="shared" si="26"/>
        <v>-1</v>
      </c>
      <c r="W84" s="139">
        <f t="shared" si="27"/>
        <v>1</v>
      </c>
      <c r="X84" s="138">
        <v>3</v>
      </c>
      <c r="Y84" s="138"/>
      <c r="Z84" s="205">
        <f>VLOOKUP(B84,'Noncap Contr Alloc'!A:C,3,FALSE)</f>
        <v>475</v>
      </c>
      <c r="AA84" s="138"/>
      <c r="AB84" s="138"/>
      <c r="AC84" s="140">
        <v>843988</v>
      </c>
      <c r="AD84" s="140">
        <v>9294</v>
      </c>
      <c r="AE84" s="140">
        <v>6742</v>
      </c>
      <c r="AF84" s="140">
        <v>91430</v>
      </c>
      <c r="AG84" s="139">
        <v>477517</v>
      </c>
      <c r="AH84" s="139">
        <v>827</v>
      </c>
      <c r="AI84" s="139">
        <v>0</v>
      </c>
      <c r="AJ84" s="139">
        <v>225169</v>
      </c>
      <c r="AK84" s="139">
        <v>229690</v>
      </c>
      <c r="AL84" s="138"/>
      <c r="AM84" s="139">
        <f t="shared" si="28"/>
        <v>165965</v>
      </c>
      <c r="AN84" s="139">
        <f t="shared" si="29"/>
        <v>-79066</v>
      </c>
      <c r="AO84" s="140">
        <f t="shared" si="30"/>
        <v>3439</v>
      </c>
      <c r="AP84" s="139">
        <f t="shared" si="31"/>
        <v>-827</v>
      </c>
      <c r="AQ84" s="140">
        <f t="shared" si="32"/>
        <v>284825</v>
      </c>
      <c r="AR84" s="139">
        <f t="shared" si="33"/>
        <v>-21483</v>
      </c>
      <c r="AS84" s="140">
        <f t="shared" si="34"/>
        <v>718268</v>
      </c>
      <c r="AT84" s="9">
        <f t="shared" si="35"/>
        <v>-47</v>
      </c>
      <c r="AU84" s="6">
        <f t="shared" si="36"/>
        <v>0</v>
      </c>
      <c r="AV84" s="238">
        <f t="shared" si="37"/>
        <v>1562256</v>
      </c>
    </row>
    <row r="85" spans="1:48" x14ac:dyDescent="0.25">
      <c r="A85" s="137" t="s">
        <v>168</v>
      </c>
      <c r="B85" s="138">
        <v>51000.3</v>
      </c>
      <c r="C85" s="139">
        <f>VLOOKUP(B85,'ER Contributions'!A:D,4,FALSE)</f>
        <v>1366796</v>
      </c>
      <c r="D85" s="141">
        <f>VLOOKUP(B85,'ER Contributions'!A:D,3,FALSE)</f>
        <v>7.9810000000000005E-4</v>
      </c>
      <c r="E85" s="140">
        <f>VLOOKUP(B85,'75 - Summary Exhibit'!A:N,3,FALSE)</f>
        <v>27145614</v>
      </c>
      <c r="F85" s="140">
        <f>VLOOKUP(B85,'75 - Summary Exhibit'!A:N,4,FALSE)</f>
        <v>221253</v>
      </c>
      <c r="G85" s="140">
        <f>VLOOKUP(B85,'75 - Summary Exhibit'!A:N,5,FALSE)</f>
        <v>116323</v>
      </c>
      <c r="H85" s="140">
        <f>VLOOKUP(B85,'75 - Summary Exhibit'!A:N,6,FALSE)</f>
        <v>6537772</v>
      </c>
      <c r="I85" s="139">
        <f>VLOOKUP(B85,'75 - Summary Exhibit'!A:N,7,FALSE)</f>
        <v>2066006</v>
      </c>
      <c r="J85" s="139">
        <f>VLOOKUP(B85,'75 - Summary Exhibit'!A:N,8,FALSE)</f>
        <v>0</v>
      </c>
      <c r="K85" s="139">
        <f>VLOOKUP(B85,'75 - Summary Exhibit'!A:N,9,FALSE)</f>
        <v>0</v>
      </c>
      <c r="L85" s="139">
        <f>VLOOKUP(B85,'75 - Summary Exhibit'!A:N,10,FALSE)</f>
        <v>3539234</v>
      </c>
      <c r="M85" s="139">
        <f>VLOOKUP(B85,'75 - Summary Exhibit'!A:N,11,FALSE)</f>
        <v>0</v>
      </c>
      <c r="N85" s="139">
        <f>VLOOKUP(B85,'75 - Summary Exhibit'!A:N,12,FALSE)</f>
        <v>754980</v>
      </c>
      <c r="O85" s="139">
        <f>VLOOKUP(B85,'75 - Summary Exhibit'!A:N,13,FALSE)</f>
        <v>1157678</v>
      </c>
      <c r="P85" s="139">
        <f>N85+O85</f>
        <v>1912658</v>
      </c>
      <c r="Q85" s="139">
        <f>VLOOKUP(B85,'75- Deferred Amortization'!A:G,3,FALSE)</f>
        <v>889466</v>
      </c>
      <c r="R85" s="139">
        <f>VLOOKUP(B85,'75- Deferred Amortization'!A:G,4,FALSE)</f>
        <v>1202832</v>
      </c>
      <c r="S85" s="139">
        <f>VLOOKUP(B85,'75- Deferred Amortization'!A:G,5,FALSE)</f>
        <v>1835123</v>
      </c>
      <c r="T85" s="139">
        <f>VLOOKUP(B85,'75- Deferred Amortization'!A:G,6,FALSE)</f>
        <v>1474700</v>
      </c>
      <c r="U85" s="139">
        <f>VLOOKUP(B85,'75- Deferred Amortization'!A:G,7,FALSE)</f>
        <v>0</v>
      </c>
      <c r="V85" s="139">
        <f t="shared" si="26"/>
        <v>-1</v>
      </c>
      <c r="W85" s="139">
        <f t="shared" si="27"/>
        <v>-1</v>
      </c>
      <c r="X85" s="138">
        <v>3</v>
      </c>
      <c r="Y85" s="138"/>
      <c r="Z85" s="205">
        <f>VLOOKUP(B85,'Noncap Contr Alloc'!A:C,3,FALSE)</f>
        <v>8259</v>
      </c>
      <c r="AA85" s="138"/>
      <c r="AB85" s="138"/>
      <c r="AC85" s="140">
        <v>20562300</v>
      </c>
      <c r="AD85" s="140">
        <v>226431</v>
      </c>
      <c r="AE85" s="140">
        <v>164262</v>
      </c>
      <c r="AF85" s="140">
        <v>2227523</v>
      </c>
      <c r="AG85" s="139">
        <v>2244197</v>
      </c>
      <c r="AH85" s="139">
        <v>20147</v>
      </c>
      <c r="AI85" s="139">
        <v>0</v>
      </c>
      <c r="AJ85" s="139">
        <v>5485856</v>
      </c>
      <c r="AK85" s="139">
        <v>0</v>
      </c>
      <c r="AL85" s="138"/>
      <c r="AM85" s="139">
        <f t="shared" si="28"/>
        <v>-178191</v>
      </c>
      <c r="AN85" s="139">
        <f t="shared" si="29"/>
        <v>0</v>
      </c>
      <c r="AO85" s="140">
        <f t="shared" si="30"/>
        <v>-5178</v>
      </c>
      <c r="AP85" s="139">
        <f t="shared" si="31"/>
        <v>-20147</v>
      </c>
      <c r="AQ85" s="140">
        <f t="shared" si="32"/>
        <v>4310249</v>
      </c>
      <c r="AR85" s="139">
        <f t="shared" si="33"/>
        <v>-1946622</v>
      </c>
      <c r="AS85" s="140">
        <f t="shared" si="34"/>
        <v>6583314</v>
      </c>
      <c r="AT85" s="9">
        <f t="shared" si="35"/>
        <v>-47939</v>
      </c>
      <c r="AU85" s="6">
        <f t="shared" si="36"/>
        <v>0</v>
      </c>
      <c r="AV85" s="238">
        <f t="shared" si="37"/>
        <v>27145614</v>
      </c>
    </row>
    <row r="86" spans="1:48" x14ac:dyDescent="0.25">
      <c r="A86" s="142" t="s">
        <v>158</v>
      </c>
      <c r="B86" s="142">
        <v>99000</v>
      </c>
      <c r="C86" s="143">
        <f>SUMIF($X$4:$X$85,1,C$4:C$85)</f>
        <v>385939747</v>
      </c>
      <c r="D86" s="143"/>
      <c r="E86" s="143">
        <f t="shared" ref="E86:M86" si="38">SUMIF($X$4:$X$85,1,E$4:E$85)</f>
        <v>8636189966</v>
      </c>
      <c r="F86" s="143">
        <f t="shared" si="38"/>
        <v>70389989</v>
      </c>
      <c r="G86" s="143">
        <f t="shared" si="38"/>
        <v>37007482</v>
      </c>
      <c r="H86" s="143">
        <f t="shared" si="38"/>
        <v>2079947176</v>
      </c>
      <c r="I86" s="143">
        <f t="shared" si="38"/>
        <v>220627238</v>
      </c>
      <c r="J86" s="143">
        <f t="shared" si="38"/>
        <v>0</v>
      </c>
      <c r="K86" s="143">
        <f t="shared" si="38"/>
        <v>0</v>
      </c>
      <c r="L86" s="143">
        <f t="shared" si="38"/>
        <v>1125982843</v>
      </c>
      <c r="M86" s="143">
        <f t="shared" si="38"/>
        <v>193248085</v>
      </c>
      <c r="N86" s="143">
        <f t="shared" ref="N86:U86" si="39">SUMIF($X$4:$X$85,1,N$4:N$85)</f>
        <v>240191644</v>
      </c>
      <c r="O86" s="143">
        <f t="shared" si="39"/>
        <v>73179686</v>
      </c>
      <c r="P86" s="143">
        <f t="shared" si="39"/>
        <v>313371330</v>
      </c>
      <c r="Q86" s="143">
        <f t="shared" si="39"/>
        <v>-35139744</v>
      </c>
      <c r="R86" s="143">
        <f t="shared" si="39"/>
        <v>185534285</v>
      </c>
      <c r="S86" s="143">
        <f t="shared" si="39"/>
        <v>528057033</v>
      </c>
      <c r="T86" s="143">
        <f t="shared" si="39"/>
        <v>410289387</v>
      </c>
      <c r="U86" s="143">
        <f t="shared" si="39"/>
        <v>0</v>
      </c>
      <c r="V86" s="143">
        <f>ROUND(((F86-AD86)+(G86-AE86)+(H86-AF86)+(I86-AG86)+(AI86-K86)+P86-(E86-AC86)-(J86-AH86)-(L86-AJ86)-(M86-AK86)-C86),0)-Z86</f>
        <v>6</v>
      </c>
      <c r="W86" s="143">
        <f t="shared" si="27"/>
        <v>-4</v>
      </c>
      <c r="X86" s="142"/>
      <c r="Y86" s="142"/>
      <c r="Z86" s="205">
        <f>SUMIF($X$4:$X$85,1,Z$4:Z$85)</f>
        <v>2627485</v>
      </c>
      <c r="AA86" s="142"/>
      <c r="AB86" s="142"/>
      <c r="AC86" s="143">
        <v>6757008130</v>
      </c>
      <c r="AD86" s="143">
        <v>74407883</v>
      </c>
      <c r="AE86" s="143">
        <v>53978452</v>
      </c>
      <c r="AF86" s="143">
        <v>731989670</v>
      </c>
      <c r="AG86" s="143">
        <v>286424264</v>
      </c>
      <c r="AH86" s="143">
        <v>6620512</v>
      </c>
      <c r="AI86" s="143">
        <v>0</v>
      </c>
      <c r="AJ86" s="143">
        <v>1802715236</v>
      </c>
      <c r="AK86" s="143">
        <v>203101308</v>
      </c>
      <c r="AL86" s="143"/>
      <c r="AM86" s="143">
        <f>SUMIF($X$4:$X$85,1,AM$4:AM$85)</f>
        <v>-65797026</v>
      </c>
      <c r="AN86" s="143">
        <f>SUMIF($X$4:$X$85,1,AN$4:AN$85)</f>
        <v>-9853223</v>
      </c>
      <c r="AO86" s="162">
        <f t="shared" si="30"/>
        <v>-4017894</v>
      </c>
      <c r="AP86" s="143">
        <f t="shared" si="31"/>
        <v>-6620512</v>
      </c>
      <c r="AQ86" s="162">
        <f t="shared" si="32"/>
        <v>1347957506</v>
      </c>
      <c r="AR86" s="143">
        <f t="shared" si="33"/>
        <v>-676732393</v>
      </c>
      <c r="AS86" s="162">
        <f t="shared" si="34"/>
        <v>1879181836</v>
      </c>
      <c r="AT86" s="9">
        <f t="shared" si="35"/>
        <v>-16970970</v>
      </c>
      <c r="AU86" s="6">
        <f t="shared" si="36"/>
        <v>0</v>
      </c>
      <c r="AV86" s="238">
        <f t="shared" si="37"/>
        <v>8636189966</v>
      </c>
    </row>
    <row r="87" spans="1:48" x14ac:dyDescent="0.25">
      <c r="A87" s="144" t="s">
        <v>159</v>
      </c>
      <c r="B87" s="142">
        <v>99100</v>
      </c>
      <c r="C87" s="143">
        <f>SUMIF($X$4:$X$85,2,C$4:C$85)</f>
        <v>75831547</v>
      </c>
      <c r="D87" s="143"/>
      <c r="E87" s="143">
        <f t="shared" ref="E87:U87" si="40">SUMIF($X$4:$X$85,2,E$4:E$85)</f>
        <v>1657878870</v>
      </c>
      <c r="F87" s="143">
        <f t="shared" si="40"/>
        <v>13512680</v>
      </c>
      <c r="G87" s="143">
        <f t="shared" si="40"/>
        <v>7104278</v>
      </c>
      <c r="H87" s="143">
        <f t="shared" si="40"/>
        <v>399284922</v>
      </c>
      <c r="I87" s="143">
        <f t="shared" si="40"/>
        <v>75629165</v>
      </c>
      <c r="J87" s="143">
        <f t="shared" si="40"/>
        <v>0</v>
      </c>
      <c r="K87" s="143">
        <f t="shared" si="40"/>
        <v>0</v>
      </c>
      <c r="L87" s="143">
        <f t="shared" si="40"/>
        <v>216153556</v>
      </c>
      <c r="M87" s="143">
        <f t="shared" si="40"/>
        <v>49348304</v>
      </c>
      <c r="N87" s="143">
        <f t="shared" si="40"/>
        <v>46109307</v>
      </c>
      <c r="O87" s="143">
        <f t="shared" si="40"/>
        <v>-7721772</v>
      </c>
      <c r="P87" s="143">
        <f t="shared" si="40"/>
        <v>38387535</v>
      </c>
      <c r="Q87" s="143">
        <f t="shared" si="40"/>
        <v>-6433072</v>
      </c>
      <c r="R87" s="143">
        <f t="shared" si="40"/>
        <v>48571616</v>
      </c>
      <c r="S87" s="143">
        <f t="shared" si="40"/>
        <v>108370918</v>
      </c>
      <c r="T87" s="143">
        <f t="shared" si="40"/>
        <v>79519730</v>
      </c>
      <c r="U87" s="143">
        <f t="shared" si="40"/>
        <v>0</v>
      </c>
      <c r="V87" s="143">
        <f t="shared" si="26"/>
        <v>1</v>
      </c>
      <c r="W87" s="143">
        <f t="shared" si="27"/>
        <v>-7</v>
      </c>
      <c r="X87" s="142"/>
      <c r="Y87" s="142"/>
      <c r="Z87" s="205">
        <f>SUMIF($X$4:$X$85,2,Z$4:Z$85)</f>
        <v>504391</v>
      </c>
      <c r="AA87" s="142"/>
      <c r="AB87" s="142"/>
      <c r="AC87" s="143">
        <v>1295344321</v>
      </c>
      <c r="AD87" s="143">
        <v>14264276</v>
      </c>
      <c r="AE87" s="143">
        <v>10347876</v>
      </c>
      <c r="AF87" s="143">
        <v>140325220</v>
      </c>
      <c r="AG87" s="143">
        <v>80862310</v>
      </c>
      <c r="AH87" s="143">
        <v>1269174</v>
      </c>
      <c r="AI87" s="143">
        <v>0</v>
      </c>
      <c r="AJ87" s="143">
        <v>345587412</v>
      </c>
      <c r="AK87" s="143">
        <v>69396864</v>
      </c>
      <c r="AL87" s="143"/>
      <c r="AM87" s="143">
        <f>SUMIF($X$4:$X$85,2,AM$4:AM$85)</f>
        <v>-5233145</v>
      </c>
      <c r="AN87" s="143">
        <f>SUMIF($X$4:$X$85,2,AN$4:AN$85)</f>
        <v>-20048560</v>
      </c>
      <c r="AO87" s="162">
        <f t="shared" si="30"/>
        <v>-751596</v>
      </c>
      <c r="AP87" s="143">
        <f t="shared" si="31"/>
        <v>-1269174</v>
      </c>
      <c r="AQ87" s="162">
        <f t="shared" si="32"/>
        <v>258959702</v>
      </c>
      <c r="AR87" s="143">
        <f t="shared" si="33"/>
        <v>-129433856</v>
      </c>
      <c r="AS87" s="162">
        <f t="shared" si="34"/>
        <v>362534549</v>
      </c>
      <c r="AT87" s="9">
        <f t="shared" si="35"/>
        <v>-3243598</v>
      </c>
      <c r="AU87" s="6">
        <f t="shared" si="36"/>
        <v>0</v>
      </c>
      <c r="AV87" s="238">
        <f t="shared" si="37"/>
        <v>1657878870</v>
      </c>
    </row>
    <row r="88" spans="1:48" x14ac:dyDescent="0.25">
      <c r="A88" s="144" t="s">
        <v>160</v>
      </c>
      <c r="B88" s="142">
        <v>99200</v>
      </c>
      <c r="C88" s="143">
        <f>SUMIF($X$4:$X$85,3,C$4:C$85)</f>
        <v>2948307</v>
      </c>
      <c r="D88" s="143"/>
      <c r="E88" s="143">
        <f t="shared" ref="E88:U88" si="41">SUMIF($X$4:$X$85,3,E$4:E$85)</f>
        <v>58617568</v>
      </c>
      <c r="F88" s="143">
        <f t="shared" si="41"/>
        <v>477768</v>
      </c>
      <c r="G88" s="143">
        <f t="shared" si="41"/>
        <v>251186</v>
      </c>
      <c r="H88" s="143">
        <f t="shared" si="41"/>
        <v>14117503</v>
      </c>
      <c r="I88" s="143">
        <f t="shared" si="41"/>
        <v>5218092</v>
      </c>
      <c r="J88" s="143">
        <f t="shared" si="41"/>
        <v>0</v>
      </c>
      <c r="K88" s="143">
        <f t="shared" si="41"/>
        <v>0</v>
      </c>
      <c r="L88" s="143">
        <f t="shared" si="41"/>
        <v>7642534</v>
      </c>
      <c r="M88" s="143">
        <f t="shared" si="41"/>
        <v>1117220</v>
      </c>
      <c r="N88" s="143">
        <f t="shared" si="41"/>
        <v>1630283</v>
      </c>
      <c r="O88" s="143">
        <f t="shared" si="41"/>
        <v>2414345</v>
      </c>
      <c r="P88" s="143">
        <f t="shared" si="41"/>
        <v>4044628</v>
      </c>
      <c r="Q88" s="143">
        <f t="shared" si="41"/>
        <v>1844825</v>
      </c>
      <c r="R88" s="143">
        <f t="shared" si="41"/>
        <v>2518199</v>
      </c>
      <c r="S88" s="143">
        <f t="shared" si="41"/>
        <v>3894252</v>
      </c>
      <c r="T88" s="143">
        <f t="shared" si="41"/>
        <v>3047519</v>
      </c>
      <c r="U88" s="143">
        <f t="shared" si="41"/>
        <v>0</v>
      </c>
      <c r="V88" s="143">
        <f t="shared" si="26"/>
        <v>-3</v>
      </c>
      <c r="W88" s="143">
        <f t="shared" si="27"/>
        <v>0</v>
      </c>
      <c r="X88" s="142"/>
      <c r="Y88" s="142"/>
      <c r="Z88" s="205">
        <f>SUMIF($X$4:$X$85,3,Z$4:Z$85)</f>
        <v>17834</v>
      </c>
      <c r="AA88" s="142"/>
      <c r="AB88" s="142"/>
      <c r="AC88" s="143">
        <v>44999253</v>
      </c>
      <c r="AD88" s="143">
        <v>495529</v>
      </c>
      <c r="AE88" s="143">
        <v>359477</v>
      </c>
      <c r="AF88" s="143">
        <v>4874789</v>
      </c>
      <c r="AG88" s="143">
        <v>6078599</v>
      </c>
      <c r="AH88" s="143">
        <v>44091</v>
      </c>
      <c r="AI88" s="143">
        <v>0</v>
      </c>
      <c r="AJ88" s="143">
        <v>12005437</v>
      </c>
      <c r="AK88" s="143">
        <v>993896</v>
      </c>
      <c r="AL88" s="143"/>
      <c r="AM88" s="143">
        <f>SUMIF($X$4:$X$85,3,AM$4:AM$85)</f>
        <v>-860507</v>
      </c>
      <c r="AN88" s="143">
        <f>SUMIF($X$4:$X$85,3,AN$4:AN$85)</f>
        <v>123324</v>
      </c>
      <c r="AO88" s="162">
        <f t="shared" si="30"/>
        <v>-17761</v>
      </c>
      <c r="AP88" s="143">
        <f t="shared" si="31"/>
        <v>-44091</v>
      </c>
      <c r="AQ88" s="162">
        <f t="shared" si="32"/>
        <v>9242714</v>
      </c>
      <c r="AR88" s="143">
        <f t="shared" si="33"/>
        <v>-4362903</v>
      </c>
      <c r="AS88" s="162">
        <f t="shared" si="34"/>
        <v>13618315</v>
      </c>
      <c r="AT88" s="9">
        <f t="shared" si="35"/>
        <v>-108291</v>
      </c>
      <c r="AU88" s="6">
        <f t="shared" si="36"/>
        <v>0</v>
      </c>
      <c r="AV88" s="238">
        <f t="shared" si="37"/>
        <v>58617568</v>
      </c>
    </row>
    <row r="91" spans="1:48" x14ac:dyDescent="0.25">
      <c r="A91" s="2"/>
    </row>
    <row r="92" spans="1:48" ht="67.2" customHeight="1" x14ac:dyDescent="0.25">
      <c r="A92" s="298" t="s">
        <v>478</v>
      </c>
      <c r="B92" s="299"/>
      <c r="C92" s="299"/>
      <c r="D92" s="299"/>
      <c r="E92" s="299"/>
      <c r="F92" s="299"/>
      <c r="V92" s="305"/>
      <c r="W92" s="306"/>
    </row>
    <row r="93" spans="1:48" x14ac:dyDescent="0.25">
      <c r="A93" s="174"/>
      <c r="B93" s="174"/>
      <c r="C93" s="6"/>
      <c r="D93" s="7"/>
    </row>
    <row r="94" spans="1:48" x14ac:dyDescent="0.25">
      <c r="A94" s="174"/>
      <c r="B94" s="174"/>
      <c r="C94" s="6"/>
      <c r="D94" s="7"/>
    </row>
    <row r="95" spans="1:48" x14ac:dyDescent="0.25">
      <c r="A95" s="174"/>
      <c r="B95" s="174"/>
      <c r="C95" s="6"/>
      <c r="D95" s="7"/>
    </row>
    <row r="96" spans="1:48" x14ac:dyDescent="0.25">
      <c r="A96" s="174"/>
      <c r="B96" s="174"/>
    </row>
    <row r="97" spans="1:2" x14ac:dyDescent="0.25">
      <c r="A97" s="174"/>
      <c r="B97" s="174"/>
    </row>
    <row r="98" spans="1:2" x14ac:dyDescent="0.25">
      <c r="A98" s="174"/>
      <c r="B98" s="174"/>
    </row>
    <row r="99" spans="1:2" x14ac:dyDescent="0.25">
      <c r="A99" s="174"/>
      <c r="B99" s="174"/>
    </row>
    <row r="100" spans="1:2" x14ac:dyDescent="0.25">
      <c r="A100" s="174"/>
      <c r="B100" s="174"/>
    </row>
    <row r="101" spans="1:2" x14ac:dyDescent="0.25">
      <c r="A101" s="174"/>
      <c r="B101" s="174"/>
    </row>
    <row r="102" spans="1:2" x14ac:dyDescent="0.25">
      <c r="A102" s="174"/>
      <c r="B102" s="174"/>
    </row>
    <row r="103" spans="1:2" x14ac:dyDescent="0.25">
      <c r="A103" s="174"/>
      <c r="B103" s="174"/>
    </row>
  </sheetData>
  <sortState xmlns:xlrd2="http://schemas.microsoft.com/office/spreadsheetml/2017/richdata2" ref="A81:AN85">
    <sortCondition ref="B81:B85"/>
  </sortState>
  <mergeCells count="8">
    <mergeCell ref="A92:F92"/>
    <mergeCell ref="AH2:AK2"/>
    <mergeCell ref="J2:M2"/>
    <mergeCell ref="N2:P2"/>
    <mergeCell ref="F2:I2"/>
    <mergeCell ref="Q2:U2"/>
    <mergeCell ref="AD2:AG2"/>
    <mergeCell ref="V92:W92"/>
  </mergeCells>
  <pageMargins left="0.7" right="0.7"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1"/>
  <sheetViews>
    <sheetView workbookViewId="0">
      <pane ySplit="2" topLeftCell="A3" activePane="bottomLeft" state="frozen"/>
      <selection pane="bottomLeft" activeCell="F2" sqref="F2"/>
    </sheetView>
  </sheetViews>
  <sheetFormatPr defaultRowHeight="13.2" x14ac:dyDescent="0.25"/>
  <cols>
    <col min="1" max="1" width="15" customWidth="1"/>
    <col min="2" max="2" width="57.6640625" customWidth="1"/>
    <col min="3" max="3" width="16.6640625" customWidth="1"/>
    <col min="4" max="4" width="18.44140625" style="9" customWidth="1"/>
    <col min="5" max="5" width="30.33203125" customWidth="1"/>
    <col min="6" max="6" width="14.44140625" style="6" customWidth="1"/>
  </cols>
  <sheetData>
    <row r="1" spans="1:11" x14ac:dyDescent="0.25">
      <c r="A1" s="5">
        <v>1</v>
      </c>
      <c r="B1" s="5">
        <v>2</v>
      </c>
      <c r="C1" s="5">
        <v>3</v>
      </c>
      <c r="D1" s="255">
        <v>4</v>
      </c>
      <c r="F1" s="188" t="s">
        <v>852</v>
      </c>
      <c r="G1" s="142"/>
      <c r="H1" s="142"/>
      <c r="I1" s="142"/>
      <c r="J1" s="142"/>
      <c r="K1" s="142"/>
    </row>
    <row r="2" spans="1:11" ht="38.25" customHeight="1" x14ac:dyDescent="0.25">
      <c r="A2" s="178" t="s">
        <v>163</v>
      </c>
      <c r="B2" s="133" t="s">
        <v>165</v>
      </c>
      <c r="C2" s="48" t="s">
        <v>170</v>
      </c>
      <c r="D2" s="256" t="s">
        <v>35</v>
      </c>
      <c r="F2" s="189"/>
    </row>
    <row r="3" spans="1:11" ht="14.4" x14ac:dyDescent="0.3">
      <c r="A3" s="249">
        <v>10200</v>
      </c>
      <c r="B3" s="250" t="s">
        <v>245</v>
      </c>
      <c r="C3" s="244">
        <v>1.2267000000000001E-3</v>
      </c>
      <c r="D3" s="257">
        <v>1795319</v>
      </c>
      <c r="F3" s="253"/>
      <c r="H3" s="254"/>
    </row>
    <row r="4" spans="1:11" ht="14.4" x14ac:dyDescent="0.3">
      <c r="A4" s="249">
        <v>10400</v>
      </c>
      <c r="B4" s="250" t="s">
        <v>246</v>
      </c>
      <c r="C4" s="244">
        <v>3.0747999999999999E-3</v>
      </c>
      <c r="D4" s="257">
        <v>4276076</v>
      </c>
      <c r="F4" s="253"/>
      <c r="H4" s="254"/>
    </row>
    <row r="5" spans="1:11" ht="14.4" x14ac:dyDescent="0.3">
      <c r="A5" s="249">
        <v>10500</v>
      </c>
      <c r="B5" s="250" t="s">
        <v>425</v>
      </c>
      <c r="C5" s="244">
        <v>6.2929999999999995E-4</v>
      </c>
      <c r="D5" s="257">
        <v>924944</v>
      </c>
      <c r="F5" s="253"/>
      <c r="H5" s="254"/>
    </row>
    <row r="6" spans="1:11" ht="14.4" x14ac:dyDescent="0.3">
      <c r="A6" s="249">
        <v>10700</v>
      </c>
      <c r="B6" s="250" t="s">
        <v>247</v>
      </c>
      <c r="C6" s="244">
        <v>4.4321999999999999E-3</v>
      </c>
      <c r="D6" s="257">
        <v>7083270</v>
      </c>
      <c r="F6" s="253"/>
      <c r="H6" s="254"/>
    </row>
    <row r="7" spans="1:11" ht="14.4" x14ac:dyDescent="0.3">
      <c r="A7" s="249">
        <v>10800</v>
      </c>
      <c r="B7" s="250" t="s">
        <v>248</v>
      </c>
      <c r="C7" s="244">
        <v>1.9450599999999998E-2</v>
      </c>
      <c r="D7" s="257">
        <v>31789165</v>
      </c>
      <c r="F7" s="253"/>
      <c r="H7" s="254"/>
    </row>
    <row r="8" spans="1:11" ht="14.4" x14ac:dyDescent="0.3">
      <c r="A8" s="249">
        <v>10850</v>
      </c>
      <c r="B8" s="250" t="s">
        <v>426</v>
      </c>
      <c r="C8" s="244">
        <v>1.7149999999999999E-4</v>
      </c>
      <c r="D8" s="257">
        <v>314521</v>
      </c>
      <c r="F8" s="253"/>
      <c r="H8" s="254"/>
    </row>
    <row r="9" spans="1:11" ht="14.4" x14ac:dyDescent="0.3">
      <c r="A9" s="220">
        <v>10900</v>
      </c>
      <c r="B9" s="222" t="s">
        <v>249</v>
      </c>
      <c r="C9" s="244">
        <v>1.6557E-3</v>
      </c>
      <c r="D9" s="257">
        <v>2838573</v>
      </c>
      <c r="F9" s="253"/>
      <c r="H9" s="254"/>
    </row>
    <row r="10" spans="1:11" ht="14.4" x14ac:dyDescent="0.3">
      <c r="A10" s="220">
        <v>10910</v>
      </c>
      <c r="B10" s="223" t="s">
        <v>427</v>
      </c>
      <c r="C10" s="244">
        <v>4.73E-4</v>
      </c>
      <c r="D10" s="257">
        <v>816949</v>
      </c>
      <c r="F10" s="253"/>
      <c r="H10" s="254"/>
    </row>
    <row r="11" spans="1:11" ht="14.4" x14ac:dyDescent="0.3">
      <c r="A11" s="220">
        <v>10930</v>
      </c>
      <c r="B11" s="223" t="s">
        <v>428</v>
      </c>
      <c r="C11" s="244">
        <v>5.5317999999999999E-3</v>
      </c>
      <c r="D11" s="257">
        <v>8982627</v>
      </c>
      <c r="F11" s="253"/>
      <c r="H11" s="254"/>
    </row>
    <row r="12" spans="1:11" ht="14.4" x14ac:dyDescent="0.3">
      <c r="A12" s="220">
        <v>10940</v>
      </c>
      <c r="B12" s="222" t="s">
        <v>474</v>
      </c>
      <c r="C12" s="244">
        <v>7.5909999999999997E-4</v>
      </c>
      <c r="D12" s="257">
        <v>1247102</v>
      </c>
      <c r="F12" s="253"/>
      <c r="H12" s="254"/>
    </row>
    <row r="13" spans="1:11" ht="14.4" x14ac:dyDescent="0.3">
      <c r="A13" s="220">
        <v>10950</v>
      </c>
      <c r="B13" s="223" t="s">
        <v>429</v>
      </c>
      <c r="C13" s="244">
        <v>1.0694000000000001E-3</v>
      </c>
      <c r="D13" s="257">
        <v>1679550</v>
      </c>
      <c r="F13" s="253"/>
      <c r="H13" s="254"/>
    </row>
    <row r="14" spans="1:11" ht="14.4" x14ac:dyDescent="0.3">
      <c r="A14" s="220">
        <v>11000</v>
      </c>
      <c r="B14" s="223" t="s">
        <v>839</v>
      </c>
      <c r="C14" s="244"/>
      <c r="D14" s="257">
        <v>2139111</v>
      </c>
      <c r="F14" s="253"/>
      <c r="H14" s="254"/>
    </row>
    <row r="15" spans="1:11" ht="14.4" x14ac:dyDescent="0.3">
      <c r="A15" s="220">
        <v>11050</v>
      </c>
      <c r="B15" s="223" t="s">
        <v>430</v>
      </c>
      <c r="C15" s="244">
        <v>2.062E-4</v>
      </c>
      <c r="D15" s="257">
        <v>411396</v>
      </c>
      <c r="F15" s="253"/>
      <c r="H15" s="254"/>
    </row>
    <row r="16" spans="1:11" ht="14.4" x14ac:dyDescent="0.3">
      <c r="A16" s="249">
        <v>11300</v>
      </c>
      <c r="B16" s="250" t="s">
        <v>431</v>
      </c>
      <c r="C16" s="244">
        <v>4.2678000000000004E-3</v>
      </c>
      <c r="D16" s="257">
        <v>7841012</v>
      </c>
      <c r="F16" s="253"/>
      <c r="H16" s="254"/>
    </row>
    <row r="17" spans="1:8" ht="14.4" x14ac:dyDescent="0.3">
      <c r="A17" s="249">
        <v>11310</v>
      </c>
      <c r="B17" s="250" t="s">
        <v>432</v>
      </c>
      <c r="C17" s="244">
        <v>5.128E-4</v>
      </c>
      <c r="D17" s="257">
        <v>843989</v>
      </c>
      <c r="F17" s="253"/>
      <c r="H17" s="254"/>
    </row>
    <row r="18" spans="1:8" ht="14.4" x14ac:dyDescent="0.3">
      <c r="A18" s="249">
        <v>11600</v>
      </c>
      <c r="B18" s="250" t="s">
        <v>250</v>
      </c>
      <c r="C18" s="244">
        <v>2.3313000000000001E-3</v>
      </c>
      <c r="D18" s="257">
        <v>2963907</v>
      </c>
      <c r="F18" s="253"/>
      <c r="H18" s="254"/>
    </row>
    <row r="19" spans="1:8" ht="14.4" x14ac:dyDescent="0.3">
      <c r="A19" s="249">
        <v>11900</v>
      </c>
      <c r="B19" s="250" t="s">
        <v>251</v>
      </c>
      <c r="C19" s="244">
        <v>3.0459999999999998E-4</v>
      </c>
      <c r="D19" s="257">
        <v>396972</v>
      </c>
      <c r="F19" s="253"/>
      <c r="H19" s="254"/>
    </row>
    <row r="20" spans="1:8" ht="14.4" x14ac:dyDescent="0.3">
      <c r="A20" s="249">
        <v>12100</v>
      </c>
      <c r="B20" s="250" t="s">
        <v>433</v>
      </c>
      <c r="C20" s="244">
        <v>2.7359999999999998E-4</v>
      </c>
      <c r="D20" s="257">
        <v>452039</v>
      </c>
      <c r="F20" s="253"/>
      <c r="H20" s="254"/>
    </row>
    <row r="21" spans="1:8" ht="14.4" x14ac:dyDescent="0.3">
      <c r="A21" s="249">
        <v>12150</v>
      </c>
      <c r="B21" s="250" t="s">
        <v>434</v>
      </c>
      <c r="C21" s="244">
        <v>1.2099999999999999E-5</v>
      </c>
      <c r="D21" s="257">
        <v>61741</v>
      </c>
      <c r="F21" s="253"/>
      <c r="H21" s="254"/>
    </row>
    <row r="22" spans="1:8" ht="14.4" x14ac:dyDescent="0.3">
      <c r="A22" s="220">
        <v>12160</v>
      </c>
      <c r="B22" s="222" t="s">
        <v>252</v>
      </c>
      <c r="C22" s="244">
        <v>1.7538E-3</v>
      </c>
      <c r="D22" s="257">
        <v>2891954</v>
      </c>
      <c r="F22" s="253"/>
      <c r="H22" s="254"/>
    </row>
    <row r="23" spans="1:8" ht="14.4" x14ac:dyDescent="0.3">
      <c r="A23" s="220">
        <v>12220</v>
      </c>
      <c r="B23" s="223" t="s">
        <v>435</v>
      </c>
      <c r="C23" s="244">
        <v>3.9738900000000001E-2</v>
      </c>
      <c r="D23" s="257">
        <v>62947199</v>
      </c>
      <c r="F23" s="253"/>
      <c r="H23" s="254"/>
    </row>
    <row r="24" spans="1:8" ht="14.4" x14ac:dyDescent="0.3">
      <c r="A24" s="220">
        <v>12510</v>
      </c>
      <c r="B24" s="222" t="s">
        <v>253</v>
      </c>
      <c r="C24" s="244">
        <v>3.8452E-3</v>
      </c>
      <c r="D24" s="257">
        <v>6577821</v>
      </c>
      <c r="F24" s="253"/>
      <c r="H24" s="254"/>
    </row>
    <row r="25" spans="1:8" ht="14.4" x14ac:dyDescent="0.3">
      <c r="A25" s="220">
        <v>12600</v>
      </c>
      <c r="B25" s="223" t="s">
        <v>436</v>
      </c>
      <c r="C25" s="244">
        <v>1.6787E-3</v>
      </c>
      <c r="D25" s="257">
        <v>3012459</v>
      </c>
      <c r="F25" s="253"/>
      <c r="H25" s="254"/>
    </row>
    <row r="26" spans="1:8" ht="14.4" x14ac:dyDescent="0.3">
      <c r="A26" s="220">
        <v>12700</v>
      </c>
      <c r="B26" s="223" t="s">
        <v>437</v>
      </c>
      <c r="C26" s="244">
        <v>9.255E-4</v>
      </c>
      <c r="D26" s="257">
        <v>1762658</v>
      </c>
      <c r="F26" s="253"/>
      <c r="H26" s="254"/>
    </row>
    <row r="27" spans="1:8" ht="14.4" x14ac:dyDescent="0.3">
      <c r="A27" s="220">
        <v>13500</v>
      </c>
      <c r="B27" s="223" t="s">
        <v>438</v>
      </c>
      <c r="C27" s="244">
        <v>3.9959000000000001E-3</v>
      </c>
      <c r="D27" s="257">
        <v>6164107</v>
      </c>
      <c r="F27" s="253"/>
      <c r="H27" s="254"/>
    </row>
    <row r="28" spans="1:8" ht="14.4" x14ac:dyDescent="0.3">
      <c r="A28" s="249">
        <v>13700</v>
      </c>
      <c r="B28" s="250" t="s">
        <v>439</v>
      </c>
      <c r="C28" s="244">
        <v>4.795E-4</v>
      </c>
      <c r="D28" s="257">
        <v>773532</v>
      </c>
      <c r="F28" s="253"/>
      <c r="H28" s="254"/>
    </row>
    <row r="29" spans="1:8" ht="14.4" x14ac:dyDescent="0.3">
      <c r="A29" s="251">
        <v>14300</v>
      </c>
      <c r="B29" s="250" t="s">
        <v>798</v>
      </c>
      <c r="C29" s="244">
        <v>1.4013000000000001E-3</v>
      </c>
      <c r="D29" s="257">
        <v>2191124</v>
      </c>
      <c r="F29" s="253">
        <f>F31-F30</f>
        <v>2191124</v>
      </c>
      <c r="G29" s="2" t="s">
        <v>841</v>
      </c>
      <c r="H29" s="254"/>
    </row>
    <row r="30" spans="1:8" ht="14.4" x14ac:dyDescent="0.3">
      <c r="A30" s="251">
        <v>14300.2</v>
      </c>
      <c r="B30" s="250" t="s">
        <v>440</v>
      </c>
      <c r="C30" s="244">
        <v>1.5699999999999999E-4</v>
      </c>
      <c r="D30" s="257">
        <v>278642</v>
      </c>
      <c r="F30" s="253">
        <v>278642</v>
      </c>
      <c r="G30" s="2" t="s">
        <v>842</v>
      </c>
      <c r="H30" s="254"/>
    </row>
    <row r="31" spans="1:8" ht="14.4" x14ac:dyDescent="0.3">
      <c r="A31" s="249">
        <v>18400</v>
      </c>
      <c r="B31" s="250" t="s">
        <v>441</v>
      </c>
      <c r="C31" s="244">
        <v>4.6791000000000003E-3</v>
      </c>
      <c r="D31" s="257">
        <v>7310818</v>
      </c>
      <c r="F31" s="253">
        <v>2469766</v>
      </c>
      <c r="G31" s="2" t="s">
        <v>843</v>
      </c>
      <c r="H31" s="254"/>
    </row>
    <row r="32" spans="1:8" ht="14.4" x14ac:dyDescent="0.3">
      <c r="A32" s="249">
        <v>18600</v>
      </c>
      <c r="B32" s="250" t="s">
        <v>442</v>
      </c>
      <c r="C32" s="244">
        <v>9.0000000000000002E-6</v>
      </c>
      <c r="D32" s="257">
        <v>24447</v>
      </c>
      <c r="F32" s="253"/>
      <c r="H32" s="254"/>
    </row>
    <row r="33" spans="1:8" ht="14.4" x14ac:dyDescent="0.3">
      <c r="A33" s="249">
        <v>18640</v>
      </c>
      <c r="B33" s="250" t="s">
        <v>241</v>
      </c>
      <c r="C33" s="244">
        <v>2.0999999999999998E-6</v>
      </c>
      <c r="D33" s="257">
        <v>3309</v>
      </c>
      <c r="F33" s="253"/>
      <c r="H33" s="254"/>
    </row>
    <row r="34" spans="1:8" ht="14.4" x14ac:dyDescent="0.3">
      <c r="A34" s="249">
        <v>18740</v>
      </c>
      <c r="B34" s="250" t="s">
        <v>443</v>
      </c>
      <c r="C34" s="244"/>
      <c r="D34" s="257">
        <v>12220</v>
      </c>
      <c r="F34" s="253"/>
      <c r="H34" s="254"/>
    </row>
    <row r="35" spans="1:8" ht="14.4" x14ac:dyDescent="0.3">
      <c r="A35" s="220">
        <v>18780</v>
      </c>
      <c r="B35" s="223" t="s">
        <v>444</v>
      </c>
      <c r="C35" s="244">
        <v>2.5299999999999998E-5</v>
      </c>
      <c r="D35" s="257">
        <v>27060</v>
      </c>
      <c r="F35" s="253"/>
      <c r="H35" s="254"/>
    </row>
    <row r="36" spans="1:8" ht="14.4" x14ac:dyDescent="0.3">
      <c r="A36" s="220">
        <v>19005</v>
      </c>
      <c r="B36" s="223" t="s">
        <v>445</v>
      </c>
      <c r="C36" s="244">
        <v>9.1620000000000004E-4</v>
      </c>
      <c r="D36" s="257">
        <v>1451444</v>
      </c>
      <c r="F36" s="253"/>
      <c r="H36" s="254"/>
    </row>
    <row r="37" spans="1:8" ht="14.4" x14ac:dyDescent="0.3">
      <c r="A37" s="220">
        <v>19100</v>
      </c>
      <c r="B37" s="222" t="s">
        <v>254</v>
      </c>
      <c r="C37" s="244">
        <v>1.8006100000000001E-2</v>
      </c>
      <c r="D37" s="257">
        <v>25310643</v>
      </c>
      <c r="F37" s="253"/>
      <c r="H37" s="254"/>
    </row>
    <row r="38" spans="1:8" ht="14.4" x14ac:dyDescent="0.3">
      <c r="A38" s="220">
        <v>19120</v>
      </c>
      <c r="B38" s="223" t="s">
        <v>809</v>
      </c>
      <c r="C38" s="244">
        <v>4.5325200000000003E-2</v>
      </c>
      <c r="D38" s="257">
        <v>65739429</v>
      </c>
      <c r="F38" s="253"/>
      <c r="H38" s="254"/>
    </row>
    <row r="39" spans="1:8" ht="14.4" x14ac:dyDescent="0.3">
      <c r="A39" s="220">
        <v>20100</v>
      </c>
      <c r="B39" s="222" t="s">
        <v>37</v>
      </c>
      <c r="C39" s="244">
        <v>1.0974899999999999E-2</v>
      </c>
      <c r="D39" s="257">
        <v>17372374</v>
      </c>
      <c r="F39" s="253"/>
      <c r="H39" s="254"/>
    </row>
    <row r="40" spans="1:8" ht="14.4" x14ac:dyDescent="0.3">
      <c r="A40" s="220">
        <v>20200</v>
      </c>
      <c r="B40" s="223" t="s">
        <v>446</v>
      </c>
      <c r="C40" s="244">
        <v>1.4812E-3</v>
      </c>
      <c r="D40" s="257">
        <v>2455288</v>
      </c>
      <c r="F40" s="253"/>
      <c r="H40" s="254"/>
    </row>
    <row r="41" spans="1:8" ht="14.4" x14ac:dyDescent="0.3">
      <c r="A41" s="249">
        <v>20300</v>
      </c>
      <c r="B41" s="250" t="s">
        <v>39</v>
      </c>
      <c r="C41" s="244">
        <v>2.2251900000000002E-2</v>
      </c>
      <c r="D41" s="257">
        <v>34392482</v>
      </c>
      <c r="F41" s="253"/>
      <c r="H41" s="254"/>
    </row>
    <row r="42" spans="1:8" ht="14.4" x14ac:dyDescent="0.3">
      <c r="A42" s="249">
        <v>20400</v>
      </c>
      <c r="B42" s="250" t="s">
        <v>40</v>
      </c>
      <c r="C42" s="244">
        <v>1.2634E-3</v>
      </c>
      <c r="D42" s="257">
        <v>1973736</v>
      </c>
      <c r="F42" s="253"/>
      <c r="H42" s="254"/>
    </row>
    <row r="43" spans="1:8" ht="14.4" x14ac:dyDescent="0.3">
      <c r="A43" s="249">
        <v>20600</v>
      </c>
      <c r="B43" s="250" t="s">
        <v>41</v>
      </c>
      <c r="C43" s="244">
        <v>2.6586000000000001E-3</v>
      </c>
      <c r="D43" s="257">
        <v>4646464</v>
      </c>
      <c r="F43" s="253"/>
      <c r="H43" s="254"/>
    </row>
    <row r="44" spans="1:8" ht="14.4" x14ac:dyDescent="0.3">
      <c r="A44" s="249">
        <v>20700</v>
      </c>
      <c r="B44" s="250" t="s">
        <v>447</v>
      </c>
      <c r="C44" s="244">
        <v>5.6867999999999997E-3</v>
      </c>
      <c r="D44" s="257">
        <v>9981354</v>
      </c>
      <c r="F44" s="253"/>
      <c r="H44" s="254"/>
    </row>
    <row r="45" spans="1:8" ht="14.4" x14ac:dyDescent="0.3">
      <c r="A45" s="249">
        <v>20800</v>
      </c>
      <c r="B45" s="250" t="s">
        <v>448</v>
      </c>
      <c r="C45" s="244">
        <v>3.8221000000000002E-3</v>
      </c>
      <c r="D45" s="257">
        <v>6693180</v>
      </c>
      <c r="F45" s="253"/>
      <c r="H45" s="254"/>
    </row>
    <row r="46" spans="1:8" ht="14.4" x14ac:dyDescent="0.3">
      <c r="A46" s="249">
        <v>20900</v>
      </c>
      <c r="B46" s="250" t="s">
        <v>44</v>
      </c>
      <c r="C46" s="244">
        <v>9.2280000000000001E-3</v>
      </c>
      <c r="D46" s="257">
        <v>13777072</v>
      </c>
      <c r="F46" s="253"/>
      <c r="H46" s="254"/>
    </row>
    <row r="47" spans="1:8" ht="14.4" x14ac:dyDescent="0.3">
      <c r="A47" s="220">
        <v>21200</v>
      </c>
      <c r="B47" s="223" t="s">
        <v>449</v>
      </c>
      <c r="C47" s="244">
        <v>2.9369999999999999E-3</v>
      </c>
      <c r="D47" s="257">
        <v>4569872</v>
      </c>
      <c r="F47" s="253"/>
      <c r="H47" s="254"/>
    </row>
    <row r="48" spans="1:8" ht="14.4" x14ac:dyDescent="0.3">
      <c r="A48" s="220">
        <v>21300</v>
      </c>
      <c r="B48" s="223" t="s">
        <v>450</v>
      </c>
      <c r="C48" s="244">
        <v>3.8584800000000002E-2</v>
      </c>
      <c r="D48" s="257">
        <v>58924603</v>
      </c>
      <c r="F48" s="253"/>
      <c r="H48" s="254"/>
    </row>
    <row r="49" spans="1:8" ht="14.4" x14ac:dyDescent="0.3">
      <c r="A49" s="220">
        <v>21520</v>
      </c>
      <c r="B49" s="223" t="s">
        <v>475</v>
      </c>
      <c r="C49" s="244">
        <v>7.4428800000000003E-2</v>
      </c>
      <c r="D49" s="257">
        <v>111150840</v>
      </c>
      <c r="F49" s="253"/>
      <c r="H49" s="254"/>
    </row>
    <row r="50" spans="1:8" ht="14.4" x14ac:dyDescent="0.3">
      <c r="A50" s="252">
        <v>21525</v>
      </c>
      <c r="B50" s="223" t="s">
        <v>810</v>
      </c>
      <c r="C50" s="244">
        <v>1.9189999999999999E-3</v>
      </c>
      <c r="D50" s="257">
        <v>2793529</v>
      </c>
      <c r="F50" s="253">
        <f>F52-F51</f>
        <v>2793529</v>
      </c>
      <c r="G50" s="2" t="s">
        <v>847</v>
      </c>
      <c r="H50" s="254"/>
    </row>
    <row r="51" spans="1:8" ht="14.4" x14ac:dyDescent="0.3">
      <c r="A51" s="252">
        <v>21525.200000000001</v>
      </c>
      <c r="B51" s="223" t="s">
        <v>811</v>
      </c>
      <c r="C51" s="244">
        <v>2.096E-4</v>
      </c>
      <c r="D51" s="257">
        <v>364268</v>
      </c>
      <c r="F51" s="253">
        <v>364268</v>
      </c>
      <c r="G51" s="2" t="s">
        <v>848</v>
      </c>
      <c r="H51" s="254"/>
    </row>
    <row r="52" spans="1:8" ht="14.4" x14ac:dyDescent="0.3">
      <c r="A52" s="220">
        <v>21550</v>
      </c>
      <c r="B52" s="222" t="s">
        <v>48</v>
      </c>
      <c r="C52" s="244">
        <v>4.3181799999999999E-2</v>
      </c>
      <c r="D52" s="257">
        <v>62589742</v>
      </c>
      <c r="F52" s="253">
        <v>3157797</v>
      </c>
      <c r="G52" s="2" t="s">
        <v>843</v>
      </c>
      <c r="H52" s="254"/>
    </row>
    <row r="53" spans="1:8" ht="14.4" x14ac:dyDescent="0.3">
      <c r="A53" s="249">
        <v>21570</v>
      </c>
      <c r="B53" s="250" t="s">
        <v>255</v>
      </c>
      <c r="C53" s="244">
        <v>1.7100000000000001E-4</v>
      </c>
      <c r="D53" s="257">
        <v>351581</v>
      </c>
      <c r="F53" s="253"/>
      <c r="H53" s="254"/>
    </row>
    <row r="54" spans="1:8" ht="14.4" x14ac:dyDescent="0.3">
      <c r="A54" s="249">
        <v>21800</v>
      </c>
      <c r="B54" s="250" t="s">
        <v>49</v>
      </c>
      <c r="C54" s="244">
        <v>5.5890000000000002E-3</v>
      </c>
      <c r="D54" s="257">
        <v>8620773</v>
      </c>
      <c r="F54" s="253"/>
      <c r="H54" s="254"/>
    </row>
    <row r="55" spans="1:8" ht="14.4" x14ac:dyDescent="0.3">
      <c r="A55" s="249">
        <v>21900</v>
      </c>
      <c r="B55" s="250" t="s">
        <v>50</v>
      </c>
      <c r="C55" s="244">
        <v>2.4713000000000001E-3</v>
      </c>
      <c r="D55" s="257">
        <v>4158553</v>
      </c>
      <c r="F55" s="253"/>
      <c r="H55" s="254"/>
    </row>
    <row r="56" spans="1:8" ht="14.4" x14ac:dyDescent="0.3">
      <c r="A56" s="249">
        <v>22000</v>
      </c>
      <c r="B56" s="250" t="s">
        <v>256</v>
      </c>
      <c r="C56" s="244">
        <v>3.7609000000000002E-3</v>
      </c>
      <c r="D56" s="257">
        <v>5775297</v>
      </c>
      <c r="F56" s="253"/>
      <c r="H56" s="254"/>
    </row>
    <row r="57" spans="1:8" ht="14.4" x14ac:dyDescent="0.3">
      <c r="A57" s="249">
        <v>23000</v>
      </c>
      <c r="B57" s="250" t="s">
        <v>51</v>
      </c>
      <c r="C57" s="244">
        <v>2.2363999999999999E-3</v>
      </c>
      <c r="D57" s="257">
        <v>3522192</v>
      </c>
      <c r="F57" s="253"/>
      <c r="H57" s="254"/>
    </row>
    <row r="58" spans="1:8" ht="14.4" x14ac:dyDescent="0.3">
      <c r="A58" s="249">
        <v>23100</v>
      </c>
      <c r="B58" s="250" t="s">
        <v>52</v>
      </c>
      <c r="C58" s="244">
        <v>1.53072E-2</v>
      </c>
      <c r="D58" s="257">
        <v>23251019</v>
      </c>
      <c r="F58" s="253"/>
      <c r="H58" s="254"/>
    </row>
    <row r="59" spans="1:8" ht="14.4" x14ac:dyDescent="0.3">
      <c r="A59" s="249">
        <v>23200</v>
      </c>
      <c r="B59" s="250" t="s">
        <v>53</v>
      </c>
      <c r="C59" s="244">
        <v>8.8208000000000002E-3</v>
      </c>
      <c r="D59" s="257">
        <v>13387124</v>
      </c>
      <c r="F59" s="253"/>
      <c r="H59" s="254"/>
    </row>
    <row r="60" spans="1:8" ht="14.4" x14ac:dyDescent="0.3">
      <c r="A60" s="249">
        <v>30000</v>
      </c>
      <c r="B60" s="250" t="s">
        <v>257</v>
      </c>
      <c r="C60" s="244">
        <v>7.9569999999999999E-4</v>
      </c>
      <c r="D60" s="257">
        <v>1107403</v>
      </c>
      <c r="F60" s="253"/>
      <c r="H60" s="254"/>
    </row>
    <row r="61" spans="1:8" ht="14.4" x14ac:dyDescent="0.3">
      <c r="A61" s="249">
        <v>30100</v>
      </c>
      <c r="B61" s="250" t="s">
        <v>258</v>
      </c>
      <c r="C61" s="244">
        <v>7.3115000000000003E-3</v>
      </c>
      <c r="D61" s="257">
        <v>10061822</v>
      </c>
      <c r="F61" s="253"/>
      <c r="H61" s="254"/>
    </row>
    <row r="62" spans="1:8" ht="14.4" x14ac:dyDescent="0.3">
      <c r="A62" s="249">
        <v>30102</v>
      </c>
      <c r="B62" s="250" t="s">
        <v>259</v>
      </c>
      <c r="C62" s="244">
        <v>2.4340000000000001E-4</v>
      </c>
      <c r="D62" s="257">
        <v>283626</v>
      </c>
      <c r="F62" s="253"/>
      <c r="H62" s="254"/>
    </row>
    <row r="63" spans="1:8" ht="14.4" x14ac:dyDescent="0.3">
      <c r="A63" s="249">
        <v>30103</v>
      </c>
      <c r="B63" s="250" t="s">
        <v>260</v>
      </c>
      <c r="C63" s="244">
        <v>2.2609999999999999E-4</v>
      </c>
      <c r="D63" s="257">
        <v>276158</v>
      </c>
      <c r="F63" s="253"/>
      <c r="H63" s="254"/>
    </row>
    <row r="64" spans="1:8" ht="14.4" x14ac:dyDescent="0.3">
      <c r="A64" s="249">
        <v>30104</v>
      </c>
      <c r="B64" s="250" t="s">
        <v>261</v>
      </c>
      <c r="C64" s="244">
        <v>1.462E-4</v>
      </c>
      <c r="D64" s="257">
        <v>203243</v>
      </c>
      <c r="F64" s="253"/>
      <c r="H64" s="254"/>
    </row>
    <row r="65" spans="1:8" ht="14.4" x14ac:dyDescent="0.3">
      <c r="A65" s="220">
        <v>30105</v>
      </c>
      <c r="B65" s="222" t="s">
        <v>54</v>
      </c>
      <c r="C65" s="244">
        <v>7.2320000000000001E-4</v>
      </c>
      <c r="D65" s="257">
        <v>1138483</v>
      </c>
      <c r="F65" s="253"/>
      <c r="H65" s="254"/>
    </row>
    <row r="66" spans="1:8" ht="14.4" x14ac:dyDescent="0.3">
      <c r="A66" s="220">
        <v>30200</v>
      </c>
      <c r="B66" s="222" t="s">
        <v>262</v>
      </c>
      <c r="C66" s="244">
        <v>1.7413999999999999E-3</v>
      </c>
      <c r="D66" s="257">
        <v>2431519</v>
      </c>
      <c r="F66" s="253"/>
      <c r="H66" s="254"/>
    </row>
    <row r="67" spans="1:8" ht="14.4" x14ac:dyDescent="0.3">
      <c r="A67" s="220">
        <v>30300</v>
      </c>
      <c r="B67" s="222" t="s">
        <v>263</v>
      </c>
      <c r="C67" s="244">
        <v>5.5170000000000002E-4</v>
      </c>
      <c r="D67" s="257">
        <v>801879</v>
      </c>
      <c r="F67" s="253"/>
      <c r="H67" s="254"/>
    </row>
    <row r="68" spans="1:8" ht="14.4" x14ac:dyDescent="0.3">
      <c r="A68" s="220">
        <v>30400</v>
      </c>
      <c r="B68" s="222" t="s">
        <v>264</v>
      </c>
      <c r="C68" s="244">
        <v>1.0954000000000001E-3</v>
      </c>
      <c r="D68" s="257">
        <v>1650616</v>
      </c>
      <c r="F68" s="253"/>
      <c r="H68" s="254"/>
    </row>
    <row r="69" spans="1:8" ht="14.4" x14ac:dyDescent="0.3">
      <c r="A69" s="220">
        <v>30405</v>
      </c>
      <c r="B69" s="222" t="s">
        <v>55</v>
      </c>
      <c r="C69" s="244">
        <v>6.0619999999999999E-4</v>
      </c>
      <c r="D69" s="257">
        <v>988609</v>
      </c>
      <c r="F69" s="253"/>
      <c r="H69" s="254"/>
    </row>
    <row r="70" spans="1:8" ht="14.4" x14ac:dyDescent="0.3">
      <c r="A70" s="220">
        <v>30500</v>
      </c>
      <c r="B70" s="222" t="s">
        <v>265</v>
      </c>
      <c r="C70" s="244">
        <v>1.0762E-3</v>
      </c>
      <c r="D70" s="257">
        <v>1558330</v>
      </c>
      <c r="F70" s="253"/>
      <c r="H70" s="254"/>
    </row>
    <row r="71" spans="1:8" ht="14.4" x14ac:dyDescent="0.3">
      <c r="A71" s="249">
        <v>30600</v>
      </c>
      <c r="B71" s="250" t="s">
        <v>266</v>
      </c>
      <c r="C71" s="244">
        <v>8.1689999999999996E-4</v>
      </c>
      <c r="D71" s="257">
        <v>1175285</v>
      </c>
      <c r="F71" s="253"/>
      <c r="H71" s="254"/>
    </row>
    <row r="72" spans="1:8" ht="14.4" x14ac:dyDescent="0.3">
      <c r="A72" s="249">
        <v>30700</v>
      </c>
      <c r="B72" s="250" t="s">
        <v>268</v>
      </c>
      <c r="C72" s="244">
        <v>2.0899999999999998E-3</v>
      </c>
      <c r="D72" s="257">
        <v>2900785</v>
      </c>
      <c r="F72" s="253"/>
      <c r="H72" s="254"/>
    </row>
    <row r="73" spans="1:8" ht="14.4" x14ac:dyDescent="0.3">
      <c r="A73" s="249">
        <v>30705</v>
      </c>
      <c r="B73" s="250" t="s">
        <v>56</v>
      </c>
      <c r="C73" s="244">
        <v>4.3879999999999999E-4</v>
      </c>
      <c r="D73" s="257">
        <v>717928</v>
      </c>
      <c r="F73" s="253"/>
      <c r="H73" s="254"/>
    </row>
    <row r="74" spans="1:8" ht="14.4" x14ac:dyDescent="0.3">
      <c r="A74" s="249">
        <v>30800</v>
      </c>
      <c r="B74" s="250" t="s">
        <v>269</v>
      </c>
      <c r="C74" s="244">
        <v>5.8850000000000005E-4</v>
      </c>
      <c r="D74" s="257">
        <v>971393</v>
      </c>
      <c r="F74" s="253"/>
      <c r="H74" s="254"/>
    </row>
    <row r="75" spans="1:8" ht="14.4" x14ac:dyDescent="0.3">
      <c r="A75" s="249">
        <v>30900</v>
      </c>
      <c r="B75" s="250" t="s">
        <v>270</v>
      </c>
      <c r="C75" s="244">
        <v>1.4989000000000001E-3</v>
      </c>
      <c r="D75" s="257">
        <v>2367568</v>
      </c>
      <c r="F75" s="253"/>
      <c r="H75" s="254"/>
    </row>
    <row r="76" spans="1:8" ht="14.4" x14ac:dyDescent="0.3">
      <c r="A76" s="249">
        <v>30905</v>
      </c>
      <c r="B76" s="250" t="s">
        <v>57</v>
      </c>
      <c r="C76" s="244">
        <v>2.3809999999999999E-4</v>
      </c>
      <c r="D76" s="257">
        <v>478131</v>
      </c>
      <c r="F76" s="253"/>
      <c r="H76" s="254"/>
    </row>
    <row r="77" spans="1:8" ht="14.4" x14ac:dyDescent="0.3">
      <c r="A77" s="220">
        <v>31000</v>
      </c>
      <c r="B77" s="222" t="s">
        <v>271</v>
      </c>
      <c r="C77" s="244">
        <v>4.3346000000000001E-3</v>
      </c>
      <c r="D77" s="257">
        <v>6596106</v>
      </c>
      <c r="F77" s="253"/>
      <c r="H77" s="254"/>
    </row>
    <row r="78" spans="1:8" ht="14.4" x14ac:dyDescent="0.3">
      <c r="A78" s="220">
        <v>31005</v>
      </c>
      <c r="B78" s="222" t="s">
        <v>58</v>
      </c>
      <c r="C78" s="244">
        <v>4.0119999999999999E-4</v>
      </c>
      <c r="D78" s="257">
        <v>704656</v>
      </c>
      <c r="F78" s="253"/>
      <c r="H78" s="254"/>
    </row>
    <row r="79" spans="1:8" ht="14.4" x14ac:dyDescent="0.3">
      <c r="A79" s="220">
        <v>31100</v>
      </c>
      <c r="B79" s="222" t="s">
        <v>272</v>
      </c>
      <c r="C79" s="244">
        <v>8.5626999999999995E-3</v>
      </c>
      <c r="D79" s="257">
        <v>12429846</v>
      </c>
      <c r="F79" s="253"/>
      <c r="H79" s="254"/>
    </row>
    <row r="80" spans="1:8" ht="14.4" x14ac:dyDescent="0.3">
      <c r="A80" s="220">
        <v>31101</v>
      </c>
      <c r="B80" s="223" t="s">
        <v>451</v>
      </c>
      <c r="C80" s="244">
        <v>6.2700000000000006E-5</v>
      </c>
      <c r="D80" s="257">
        <v>51317</v>
      </c>
      <c r="F80" s="253"/>
      <c r="H80" s="254"/>
    </row>
    <row r="81" spans="1:8" ht="14.4" x14ac:dyDescent="0.3">
      <c r="A81" s="220">
        <v>31102</v>
      </c>
      <c r="B81" s="222" t="s">
        <v>273</v>
      </c>
      <c r="C81" s="244">
        <v>1.5970000000000001E-4</v>
      </c>
      <c r="D81" s="257">
        <v>200483</v>
      </c>
      <c r="F81" s="253"/>
      <c r="H81" s="254"/>
    </row>
    <row r="82" spans="1:8" ht="14.4" x14ac:dyDescent="0.3">
      <c r="A82" s="220">
        <v>31105</v>
      </c>
      <c r="B82" s="222" t="s">
        <v>59</v>
      </c>
      <c r="C82" s="244">
        <v>1.2715000000000001E-3</v>
      </c>
      <c r="D82" s="257">
        <v>2014952</v>
      </c>
      <c r="F82" s="253"/>
      <c r="H82" s="254"/>
    </row>
    <row r="83" spans="1:8" ht="14.4" x14ac:dyDescent="0.3">
      <c r="A83" s="249">
        <v>31110</v>
      </c>
      <c r="B83" s="250" t="s">
        <v>274</v>
      </c>
      <c r="C83" s="244">
        <v>1.9176E-3</v>
      </c>
      <c r="D83" s="257">
        <v>2835309</v>
      </c>
      <c r="F83" s="253"/>
      <c r="H83" s="254"/>
    </row>
    <row r="84" spans="1:8" ht="14.4" x14ac:dyDescent="0.3">
      <c r="A84" s="249">
        <v>31200</v>
      </c>
      <c r="B84" s="250" t="s">
        <v>275</v>
      </c>
      <c r="C84" s="244">
        <v>3.7948999999999999E-3</v>
      </c>
      <c r="D84" s="257">
        <v>5517844</v>
      </c>
      <c r="F84" s="253"/>
      <c r="H84" s="254"/>
    </row>
    <row r="85" spans="1:8" ht="14.4" x14ac:dyDescent="0.3">
      <c r="A85" s="249">
        <v>31205</v>
      </c>
      <c r="B85" s="250" t="s">
        <v>452</v>
      </c>
      <c r="C85" s="244">
        <v>4.0039999999999997E-4</v>
      </c>
      <c r="D85" s="257">
        <v>665670</v>
      </c>
      <c r="F85" s="253"/>
      <c r="H85" s="254"/>
    </row>
    <row r="86" spans="1:8" ht="14.4" x14ac:dyDescent="0.3">
      <c r="A86" s="249">
        <v>31300</v>
      </c>
      <c r="B86" s="250" t="s">
        <v>276</v>
      </c>
      <c r="C86" s="244">
        <v>1.1422699999999999E-2</v>
      </c>
      <c r="D86" s="257">
        <v>15478288</v>
      </c>
      <c r="F86" s="253"/>
      <c r="H86" s="254"/>
    </row>
    <row r="87" spans="1:8" ht="14.4" x14ac:dyDescent="0.3">
      <c r="A87" s="249">
        <v>31301</v>
      </c>
      <c r="B87" s="250" t="s">
        <v>277</v>
      </c>
      <c r="C87" s="244">
        <v>1.462E-4</v>
      </c>
      <c r="D87" s="257">
        <v>274895</v>
      </c>
      <c r="F87" s="253"/>
      <c r="H87" s="254"/>
    </row>
    <row r="88" spans="1:8" ht="14.4" x14ac:dyDescent="0.3">
      <c r="A88" s="249">
        <v>31320</v>
      </c>
      <c r="B88" s="250" t="s">
        <v>278</v>
      </c>
      <c r="C88" s="244">
        <v>1.8320000000000001E-3</v>
      </c>
      <c r="D88" s="257">
        <v>2536642</v>
      </c>
      <c r="F88" s="253"/>
      <c r="H88" s="254"/>
    </row>
    <row r="89" spans="1:8" ht="14.4" x14ac:dyDescent="0.3">
      <c r="A89" s="220">
        <v>31400</v>
      </c>
      <c r="B89" s="222" t="s">
        <v>279</v>
      </c>
      <c r="C89" s="244">
        <v>3.7301000000000001E-3</v>
      </c>
      <c r="D89" s="257">
        <v>5252409</v>
      </c>
      <c r="F89" s="253"/>
      <c r="H89" s="254"/>
    </row>
    <row r="90" spans="1:8" ht="14.4" x14ac:dyDescent="0.3">
      <c r="A90" s="220">
        <v>31405</v>
      </c>
      <c r="B90" s="222" t="s">
        <v>61</v>
      </c>
      <c r="C90" s="244">
        <v>8.1150000000000005E-4</v>
      </c>
      <c r="D90" s="257">
        <v>1379088</v>
      </c>
      <c r="F90" s="253"/>
      <c r="H90" s="254"/>
    </row>
    <row r="91" spans="1:8" ht="14.4" x14ac:dyDescent="0.3">
      <c r="A91" s="220">
        <v>31500</v>
      </c>
      <c r="B91" s="222" t="s">
        <v>280</v>
      </c>
      <c r="C91" s="244">
        <v>7.4169999999999998E-4</v>
      </c>
      <c r="D91" s="257">
        <v>1032344</v>
      </c>
      <c r="F91" s="253"/>
      <c r="H91" s="254"/>
    </row>
    <row r="92" spans="1:8" ht="14.4" x14ac:dyDescent="0.3">
      <c r="A92" s="220">
        <v>31600</v>
      </c>
      <c r="B92" s="222" t="s">
        <v>281</v>
      </c>
      <c r="C92" s="244">
        <v>2.9223999999999999E-3</v>
      </c>
      <c r="D92" s="257">
        <v>4089286</v>
      </c>
      <c r="F92" s="253"/>
      <c r="H92" s="254"/>
    </row>
    <row r="93" spans="1:8" ht="14.4" x14ac:dyDescent="0.3">
      <c r="A93" s="220">
        <v>31605</v>
      </c>
      <c r="B93" s="222" t="s">
        <v>62</v>
      </c>
      <c r="C93" s="244">
        <v>4.3590000000000002E-4</v>
      </c>
      <c r="D93" s="257">
        <v>737660</v>
      </c>
      <c r="F93" s="253"/>
      <c r="H93" s="254"/>
    </row>
    <row r="94" spans="1:8" ht="14.4" x14ac:dyDescent="0.3">
      <c r="A94" s="220">
        <v>31700</v>
      </c>
      <c r="B94" s="222" t="s">
        <v>282</v>
      </c>
      <c r="C94" s="244">
        <v>6.8900000000000005E-4</v>
      </c>
      <c r="D94" s="257">
        <v>1083033</v>
      </c>
      <c r="F94" s="253"/>
      <c r="H94" s="254"/>
    </row>
    <row r="95" spans="1:8" ht="14.4" x14ac:dyDescent="0.3">
      <c r="A95" s="249">
        <v>31800</v>
      </c>
      <c r="B95" s="250" t="s">
        <v>283</v>
      </c>
      <c r="C95" s="244">
        <v>5.3143000000000001E-3</v>
      </c>
      <c r="D95" s="257">
        <v>7316980</v>
      </c>
      <c r="F95" s="253"/>
      <c r="H95" s="254"/>
    </row>
    <row r="96" spans="1:8" ht="14.4" x14ac:dyDescent="0.3">
      <c r="A96" s="249">
        <v>31805</v>
      </c>
      <c r="B96" s="250" t="s">
        <v>63</v>
      </c>
      <c r="C96" s="244">
        <v>1.0111E-3</v>
      </c>
      <c r="D96" s="257">
        <v>1552185</v>
      </c>
      <c r="F96" s="253"/>
      <c r="H96" s="254"/>
    </row>
    <row r="97" spans="1:8" ht="14.4" x14ac:dyDescent="0.3">
      <c r="A97" s="249">
        <v>31810</v>
      </c>
      <c r="B97" s="250" t="s">
        <v>284</v>
      </c>
      <c r="C97" s="244">
        <v>1.1454E-3</v>
      </c>
      <c r="D97" s="257">
        <v>1749787</v>
      </c>
      <c r="F97" s="253"/>
      <c r="H97" s="254"/>
    </row>
    <row r="98" spans="1:8" ht="14.4" x14ac:dyDescent="0.3">
      <c r="A98" s="249">
        <v>31820</v>
      </c>
      <c r="B98" s="250" t="s">
        <v>285</v>
      </c>
      <c r="C98" s="244">
        <v>9.7119999999999997E-4</v>
      </c>
      <c r="D98" s="257">
        <v>1422039</v>
      </c>
      <c r="F98" s="253"/>
      <c r="H98" s="254"/>
    </row>
    <row r="99" spans="1:8" ht="14.4" x14ac:dyDescent="0.3">
      <c r="A99" s="249">
        <v>31900</v>
      </c>
      <c r="B99" s="250" t="s">
        <v>286</v>
      </c>
      <c r="C99" s="244">
        <v>3.189E-3</v>
      </c>
      <c r="D99" s="257">
        <v>4602487</v>
      </c>
      <c r="F99" s="253"/>
      <c r="H99" s="254"/>
    </row>
    <row r="100" spans="1:8" ht="14.4" x14ac:dyDescent="0.3">
      <c r="A100" s="249">
        <v>32000</v>
      </c>
      <c r="B100" s="250" t="s">
        <v>287</v>
      </c>
      <c r="C100" s="244">
        <v>1.1605999999999999E-3</v>
      </c>
      <c r="D100" s="257">
        <v>1722744</v>
      </c>
      <c r="F100" s="253"/>
      <c r="H100" s="254"/>
    </row>
    <row r="101" spans="1:8" ht="14.4" x14ac:dyDescent="0.3">
      <c r="A101" s="220">
        <v>32005</v>
      </c>
      <c r="B101" s="222" t="s">
        <v>64</v>
      </c>
      <c r="C101" s="244">
        <v>3.3040000000000001E-4</v>
      </c>
      <c r="D101" s="257">
        <v>429149</v>
      </c>
      <c r="F101" s="253"/>
      <c r="H101" s="254"/>
    </row>
    <row r="102" spans="1:8" ht="14.4" x14ac:dyDescent="0.3">
      <c r="A102" s="220">
        <v>32100</v>
      </c>
      <c r="B102" s="222" t="s">
        <v>288</v>
      </c>
      <c r="C102" s="244">
        <v>6.5709999999999998E-4</v>
      </c>
      <c r="D102" s="257">
        <v>1008346</v>
      </c>
      <c r="F102" s="253"/>
      <c r="H102" s="254"/>
    </row>
    <row r="103" spans="1:8" ht="14.4" x14ac:dyDescent="0.3">
      <c r="A103" s="220">
        <v>32200</v>
      </c>
      <c r="B103" s="222" t="s">
        <v>289</v>
      </c>
      <c r="C103" s="244">
        <v>5.3330000000000001E-4</v>
      </c>
      <c r="D103" s="257">
        <v>766758</v>
      </c>
      <c r="F103" s="253"/>
      <c r="H103" s="254"/>
    </row>
    <row r="104" spans="1:8" ht="14.4" x14ac:dyDescent="0.3">
      <c r="A104" s="220">
        <v>32300</v>
      </c>
      <c r="B104" s="222" t="s">
        <v>290</v>
      </c>
      <c r="C104" s="244">
        <v>5.0574000000000001E-3</v>
      </c>
      <c r="D104" s="257">
        <v>7064518</v>
      </c>
      <c r="F104" s="253"/>
      <c r="H104" s="254"/>
    </row>
    <row r="105" spans="1:8" ht="14.4" x14ac:dyDescent="0.3">
      <c r="A105" s="220">
        <v>32305</v>
      </c>
      <c r="B105" s="222" t="s">
        <v>480</v>
      </c>
      <c r="C105" s="244">
        <v>6.202E-4</v>
      </c>
      <c r="D105" s="257">
        <v>919293</v>
      </c>
      <c r="F105" s="253"/>
      <c r="H105" s="254"/>
    </row>
    <row r="106" spans="1:8" ht="14.4" x14ac:dyDescent="0.3">
      <c r="A106" s="220">
        <v>32400</v>
      </c>
      <c r="B106" s="222" t="s">
        <v>291</v>
      </c>
      <c r="C106" s="244">
        <v>1.7887000000000001E-3</v>
      </c>
      <c r="D106" s="257">
        <v>2600602</v>
      </c>
      <c r="F106" s="253"/>
      <c r="H106" s="254"/>
    </row>
    <row r="107" spans="1:8" ht="14.4" x14ac:dyDescent="0.3">
      <c r="A107" s="249">
        <v>32405</v>
      </c>
      <c r="B107" s="250" t="s">
        <v>66</v>
      </c>
      <c r="C107" s="244">
        <v>4.2489999999999997E-4</v>
      </c>
      <c r="D107" s="257">
        <v>695467</v>
      </c>
      <c r="F107" s="253"/>
      <c r="H107" s="254"/>
    </row>
    <row r="108" spans="1:8" ht="14.4" x14ac:dyDescent="0.3">
      <c r="A108" s="249">
        <v>32410</v>
      </c>
      <c r="B108" s="250" t="s">
        <v>292</v>
      </c>
      <c r="C108" s="244">
        <v>7.8069999999999995E-4</v>
      </c>
      <c r="D108" s="257">
        <v>1188394</v>
      </c>
      <c r="F108" s="253"/>
      <c r="H108" s="254"/>
    </row>
    <row r="109" spans="1:8" ht="14.4" x14ac:dyDescent="0.3">
      <c r="A109" s="249">
        <v>32500</v>
      </c>
      <c r="B109" s="250" t="s">
        <v>481</v>
      </c>
      <c r="C109" s="244">
        <v>3.8698999999999999E-3</v>
      </c>
      <c r="D109" s="257">
        <v>5929321</v>
      </c>
      <c r="F109" s="253"/>
      <c r="H109" s="254"/>
    </row>
    <row r="110" spans="1:8" ht="14.4" x14ac:dyDescent="0.3">
      <c r="A110" s="249">
        <v>32505</v>
      </c>
      <c r="B110" s="250" t="s">
        <v>67</v>
      </c>
      <c r="C110" s="244">
        <v>6.6649999999999999E-4</v>
      </c>
      <c r="D110" s="257">
        <v>1070793</v>
      </c>
      <c r="F110" s="253"/>
      <c r="H110" s="254"/>
    </row>
    <row r="111" spans="1:8" ht="14.4" x14ac:dyDescent="0.3">
      <c r="A111" s="249">
        <v>32600</v>
      </c>
      <c r="B111" s="250" t="s">
        <v>293</v>
      </c>
      <c r="C111" s="244">
        <v>1.41434E-2</v>
      </c>
      <c r="D111" s="257">
        <v>21097204</v>
      </c>
      <c r="F111" s="253"/>
      <c r="H111" s="254"/>
    </row>
    <row r="112" spans="1:8" ht="14.4" x14ac:dyDescent="0.3">
      <c r="A112" s="249">
        <v>32605</v>
      </c>
      <c r="B112" s="250" t="s">
        <v>68</v>
      </c>
      <c r="C112" s="244">
        <v>2.6161000000000001E-3</v>
      </c>
      <c r="D112" s="257">
        <v>3923823</v>
      </c>
      <c r="F112" s="253"/>
      <c r="H112" s="254"/>
    </row>
    <row r="113" spans="1:8" ht="14.4" x14ac:dyDescent="0.3">
      <c r="A113" s="249">
        <v>32700</v>
      </c>
      <c r="B113" s="250" t="s">
        <v>294</v>
      </c>
      <c r="C113" s="244">
        <v>1.4023E-3</v>
      </c>
      <c r="D113" s="257">
        <v>2249793</v>
      </c>
      <c r="F113" s="253"/>
      <c r="H113" s="254"/>
    </row>
    <row r="114" spans="1:8" ht="14.4" x14ac:dyDescent="0.3">
      <c r="A114" s="249">
        <v>32800</v>
      </c>
      <c r="B114" s="250" t="s">
        <v>295</v>
      </c>
      <c r="C114" s="244">
        <v>1.9154E-3</v>
      </c>
      <c r="D114" s="257">
        <v>2996863</v>
      </c>
      <c r="F114" s="253"/>
      <c r="H114" s="254"/>
    </row>
    <row r="115" spans="1:8" ht="14.4" x14ac:dyDescent="0.3">
      <c r="A115" s="249">
        <v>32900</v>
      </c>
      <c r="B115" s="250" t="s">
        <v>296</v>
      </c>
      <c r="C115" s="244">
        <v>5.5621999999999998E-3</v>
      </c>
      <c r="D115" s="257">
        <v>7649863</v>
      </c>
      <c r="F115" s="253"/>
      <c r="H115" s="254"/>
    </row>
    <row r="116" spans="1:8" ht="14.4" x14ac:dyDescent="0.3">
      <c r="A116" s="249">
        <v>32901</v>
      </c>
      <c r="B116" s="250" t="s">
        <v>422</v>
      </c>
      <c r="C116" s="244">
        <v>1.9300000000000002E-5</v>
      </c>
      <c r="D116" s="257">
        <v>859</v>
      </c>
      <c r="F116" s="253"/>
      <c r="H116" s="254"/>
    </row>
    <row r="117" spans="1:8" ht="14.4" x14ac:dyDescent="0.3">
      <c r="A117" s="249">
        <v>32904</v>
      </c>
      <c r="B117" s="250" t="s">
        <v>465</v>
      </c>
      <c r="C117" s="244">
        <v>9.2700000000000004E-5</v>
      </c>
      <c r="D117" s="257">
        <v>127961</v>
      </c>
      <c r="F117" s="253"/>
      <c r="H117" s="254"/>
    </row>
    <row r="118" spans="1:8" ht="14.4" x14ac:dyDescent="0.3">
      <c r="A118" s="249">
        <v>32905</v>
      </c>
      <c r="B118" s="250" t="s">
        <v>69</v>
      </c>
      <c r="C118" s="244">
        <v>7.8720000000000005E-4</v>
      </c>
      <c r="D118" s="257">
        <v>1219735</v>
      </c>
      <c r="F118" s="253"/>
      <c r="H118" s="254"/>
    </row>
    <row r="119" spans="1:8" ht="14.4" x14ac:dyDescent="0.3">
      <c r="A119" s="220">
        <v>32910</v>
      </c>
      <c r="B119" s="222" t="s">
        <v>297</v>
      </c>
      <c r="C119" s="244">
        <v>8.9800000000000004E-4</v>
      </c>
      <c r="D119" s="257">
        <v>1427220</v>
      </c>
      <c r="F119" s="253"/>
      <c r="H119" s="254"/>
    </row>
    <row r="120" spans="1:8" ht="14.4" x14ac:dyDescent="0.3">
      <c r="A120" s="220">
        <v>32915</v>
      </c>
      <c r="B120" s="223" t="s">
        <v>799</v>
      </c>
      <c r="C120" s="244">
        <v>1.3779999999999999E-4</v>
      </c>
      <c r="D120" s="257">
        <v>168861</v>
      </c>
      <c r="F120" s="253"/>
      <c r="H120" s="254"/>
    </row>
    <row r="121" spans="1:8" ht="14.4" x14ac:dyDescent="0.3">
      <c r="A121" s="220">
        <v>32920</v>
      </c>
      <c r="B121" s="222" t="s">
        <v>298</v>
      </c>
      <c r="C121" s="244">
        <v>7.1170000000000001E-4</v>
      </c>
      <c r="D121" s="257">
        <v>1088521</v>
      </c>
      <c r="F121" s="253"/>
      <c r="H121" s="254"/>
    </row>
    <row r="122" spans="1:8" ht="14.4" x14ac:dyDescent="0.3">
      <c r="A122" s="220">
        <v>33000</v>
      </c>
      <c r="B122" s="222" t="s">
        <v>299</v>
      </c>
      <c r="C122" s="244">
        <v>2.1431000000000002E-3</v>
      </c>
      <c r="D122" s="257">
        <v>2977865</v>
      </c>
      <c r="F122" s="253"/>
      <c r="H122" s="254"/>
    </row>
    <row r="123" spans="1:8" ht="14.4" x14ac:dyDescent="0.3">
      <c r="A123" s="220">
        <v>33001</v>
      </c>
      <c r="B123" s="223" t="s">
        <v>453</v>
      </c>
      <c r="C123" s="244">
        <v>2.5999999999999998E-5</v>
      </c>
      <c r="D123" s="257">
        <v>45885</v>
      </c>
      <c r="F123" s="253"/>
      <c r="H123" s="254"/>
    </row>
    <row r="124" spans="1:8" ht="14.4" x14ac:dyDescent="0.3">
      <c r="A124" s="220">
        <v>33027</v>
      </c>
      <c r="B124" s="223" t="s">
        <v>300</v>
      </c>
      <c r="C124" s="244">
        <v>4.0010000000000002E-4</v>
      </c>
      <c r="D124" s="257">
        <v>457316</v>
      </c>
      <c r="F124" s="253"/>
      <c r="H124" s="254"/>
    </row>
    <row r="125" spans="1:8" ht="14.4" x14ac:dyDescent="0.3">
      <c r="A125" s="249">
        <v>33100</v>
      </c>
      <c r="B125" s="250" t="s">
        <v>301</v>
      </c>
      <c r="C125" s="244">
        <v>2.8376999999999999E-3</v>
      </c>
      <c r="D125" s="257">
        <v>4302518</v>
      </c>
      <c r="F125" s="253"/>
      <c r="H125" s="254"/>
    </row>
    <row r="126" spans="1:8" ht="14.4" x14ac:dyDescent="0.3">
      <c r="A126" s="249">
        <v>33105</v>
      </c>
      <c r="B126" s="250" t="s">
        <v>70</v>
      </c>
      <c r="C126" s="244">
        <v>3.5070000000000001E-4</v>
      </c>
      <c r="D126" s="257">
        <v>580296</v>
      </c>
      <c r="F126" s="253"/>
      <c r="H126" s="254"/>
    </row>
    <row r="127" spans="1:8" ht="14.4" x14ac:dyDescent="0.3">
      <c r="A127" s="249">
        <v>33200</v>
      </c>
      <c r="B127" s="250" t="s">
        <v>302</v>
      </c>
      <c r="C127" s="244">
        <v>1.31787E-2</v>
      </c>
      <c r="D127" s="257">
        <v>19115170</v>
      </c>
      <c r="F127" s="253"/>
      <c r="H127" s="254"/>
    </row>
    <row r="128" spans="1:8" ht="14.4" x14ac:dyDescent="0.3">
      <c r="A128" s="249">
        <v>33202</v>
      </c>
      <c r="B128" s="250" t="s">
        <v>454</v>
      </c>
      <c r="C128" s="244">
        <v>2.6949999999999999E-4</v>
      </c>
      <c r="D128" s="257">
        <v>288177</v>
      </c>
      <c r="F128" s="253"/>
      <c r="H128" s="254"/>
    </row>
    <row r="129" spans="1:8" ht="14.4" x14ac:dyDescent="0.3">
      <c r="A129" s="249">
        <v>33203</v>
      </c>
      <c r="B129" s="250" t="s">
        <v>303</v>
      </c>
      <c r="C129" s="244">
        <v>1.8579999999999999E-4</v>
      </c>
      <c r="D129" s="257">
        <v>326480</v>
      </c>
      <c r="F129" s="253"/>
      <c r="H129" s="254"/>
    </row>
    <row r="130" spans="1:8" ht="14.4" x14ac:dyDescent="0.3">
      <c r="A130" s="249">
        <v>33204</v>
      </c>
      <c r="B130" s="250" t="s">
        <v>304</v>
      </c>
      <c r="C130" s="244">
        <v>4.5080000000000001E-4</v>
      </c>
      <c r="D130" s="257">
        <v>576210</v>
      </c>
      <c r="F130" s="253"/>
      <c r="H130" s="254"/>
    </row>
    <row r="131" spans="1:8" ht="14.4" x14ac:dyDescent="0.3">
      <c r="A131" s="220">
        <v>33205</v>
      </c>
      <c r="B131" s="222" t="s">
        <v>71</v>
      </c>
      <c r="C131" s="244">
        <v>1.1825E-3</v>
      </c>
      <c r="D131" s="257">
        <v>1808843</v>
      </c>
      <c r="F131" s="253"/>
      <c r="H131" s="254"/>
    </row>
    <row r="132" spans="1:8" ht="14.4" x14ac:dyDescent="0.3">
      <c r="A132" s="220">
        <v>33206</v>
      </c>
      <c r="B132" s="222" t="s">
        <v>305</v>
      </c>
      <c r="C132" s="244">
        <v>1.3469999999999999E-4</v>
      </c>
      <c r="D132" s="257">
        <v>173997</v>
      </c>
      <c r="F132" s="253"/>
      <c r="H132" s="254"/>
    </row>
    <row r="133" spans="1:8" ht="14.4" x14ac:dyDescent="0.3">
      <c r="A133" s="220">
        <v>33207</v>
      </c>
      <c r="B133" s="222" t="s">
        <v>306</v>
      </c>
      <c r="C133" s="244">
        <v>4.5830000000000003E-4</v>
      </c>
      <c r="D133" s="257">
        <v>522076</v>
      </c>
      <c r="F133" s="253"/>
      <c r="H133" s="254"/>
    </row>
    <row r="134" spans="1:8" ht="14.4" x14ac:dyDescent="0.3">
      <c r="A134" s="220">
        <v>33300</v>
      </c>
      <c r="B134" s="222" t="s">
        <v>308</v>
      </c>
      <c r="C134" s="244">
        <v>1.8075000000000001E-3</v>
      </c>
      <c r="D134" s="257">
        <v>2812991</v>
      </c>
      <c r="F134" s="253"/>
      <c r="H134" s="254"/>
    </row>
    <row r="135" spans="1:8" ht="14.4" x14ac:dyDescent="0.3">
      <c r="A135" s="220">
        <v>33305</v>
      </c>
      <c r="B135" s="222" t="s">
        <v>72</v>
      </c>
      <c r="C135" s="244">
        <v>3.9609999999999998E-4</v>
      </c>
      <c r="D135" s="257">
        <v>660739</v>
      </c>
      <c r="F135" s="253"/>
      <c r="H135" s="254"/>
    </row>
    <row r="136" spans="1:8" ht="14.4" x14ac:dyDescent="0.3">
      <c r="A136" s="220">
        <v>33400</v>
      </c>
      <c r="B136" s="222" t="s">
        <v>309</v>
      </c>
      <c r="C136" s="244">
        <v>1.8955E-2</v>
      </c>
      <c r="D136" s="257">
        <v>27263896</v>
      </c>
      <c r="F136" s="253"/>
      <c r="H136" s="254"/>
    </row>
    <row r="137" spans="1:8" ht="14.4" x14ac:dyDescent="0.3">
      <c r="A137" s="249">
        <v>33402</v>
      </c>
      <c r="B137" s="250" t="s">
        <v>310</v>
      </c>
      <c r="C137" s="244">
        <v>1.872E-4</v>
      </c>
      <c r="D137" s="257">
        <v>223440</v>
      </c>
      <c r="F137" s="253"/>
      <c r="H137" s="254"/>
    </row>
    <row r="138" spans="1:8" ht="14.4" x14ac:dyDescent="0.3">
      <c r="A138" s="249">
        <v>33405</v>
      </c>
      <c r="B138" s="250" t="s">
        <v>73</v>
      </c>
      <c r="C138" s="244">
        <v>1.7470000000000001E-3</v>
      </c>
      <c r="D138" s="257">
        <v>2674234</v>
      </c>
      <c r="F138" s="253"/>
      <c r="H138" s="254"/>
    </row>
    <row r="139" spans="1:8" ht="14.4" x14ac:dyDescent="0.3">
      <c r="A139" s="249">
        <v>33500</v>
      </c>
      <c r="B139" s="250" t="s">
        <v>311</v>
      </c>
      <c r="C139" s="244">
        <v>2.6343E-3</v>
      </c>
      <c r="D139" s="257">
        <v>3819732</v>
      </c>
      <c r="F139" s="253"/>
      <c r="H139" s="254"/>
    </row>
    <row r="140" spans="1:8" ht="14.4" x14ac:dyDescent="0.3">
      <c r="A140" s="249">
        <v>33501</v>
      </c>
      <c r="B140" s="250" t="s">
        <v>312</v>
      </c>
      <c r="C140" s="244">
        <v>9.6799999999999995E-5</v>
      </c>
      <c r="D140" s="257">
        <v>159019</v>
      </c>
      <c r="F140" s="253"/>
      <c r="H140" s="254"/>
    </row>
    <row r="141" spans="1:8" ht="14.4" x14ac:dyDescent="0.3">
      <c r="A141" s="249">
        <v>33600</v>
      </c>
      <c r="B141" s="250" t="s">
        <v>313</v>
      </c>
      <c r="C141" s="244">
        <v>9.1821999999999997E-3</v>
      </c>
      <c r="D141" s="257">
        <v>12910860</v>
      </c>
      <c r="F141" s="253"/>
      <c r="H141" s="254"/>
    </row>
    <row r="142" spans="1:8" ht="14.4" x14ac:dyDescent="0.3">
      <c r="A142" s="249">
        <v>33605</v>
      </c>
      <c r="B142" s="250" t="s">
        <v>74</v>
      </c>
      <c r="C142" s="244">
        <v>1.0993000000000001E-3</v>
      </c>
      <c r="D142" s="257">
        <v>1942036</v>
      </c>
      <c r="F142" s="253"/>
      <c r="H142" s="254"/>
    </row>
    <row r="143" spans="1:8" ht="14.4" x14ac:dyDescent="0.3">
      <c r="A143" s="220">
        <v>33700</v>
      </c>
      <c r="B143" s="222" t="s">
        <v>314</v>
      </c>
      <c r="C143" s="244">
        <v>6.7540000000000005E-4</v>
      </c>
      <c r="D143" s="257">
        <v>888543</v>
      </c>
      <c r="F143" s="253"/>
      <c r="H143" s="254"/>
    </row>
    <row r="144" spans="1:8" ht="14.4" x14ac:dyDescent="0.3">
      <c r="A144" s="220">
        <v>33800</v>
      </c>
      <c r="B144" s="222" t="s">
        <v>315</v>
      </c>
      <c r="C144" s="244">
        <v>4.9919999999999999E-4</v>
      </c>
      <c r="D144" s="257">
        <v>757635</v>
      </c>
      <c r="F144" s="253"/>
      <c r="H144" s="254"/>
    </row>
    <row r="145" spans="1:8" ht="14.4" x14ac:dyDescent="0.3">
      <c r="A145" s="220">
        <v>33900</v>
      </c>
      <c r="B145" s="222" t="s">
        <v>837</v>
      </c>
      <c r="C145" s="244">
        <v>1.9193000000000001E-3</v>
      </c>
      <c r="D145" s="257">
        <v>3146093</v>
      </c>
      <c r="F145" s="253"/>
      <c r="H145" s="254"/>
    </row>
    <row r="146" spans="1:8" ht="14.4" x14ac:dyDescent="0.3">
      <c r="A146" s="220">
        <v>34000</v>
      </c>
      <c r="B146" s="222" t="s">
        <v>316</v>
      </c>
      <c r="C146" s="244">
        <v>1.2428000000000001E-3</v>
      </c>
      <c r="D146" s="257">
        <v>1686036</v>
      </c>
      <c r="F146" s="253"/>
      <c r="H146" s="254"/>
    </row>
    <row r="147" spans="1:8" ht="14.4" x14ac:dyDescent="0.3">
      <c r="A147" s="220">
        <v>34100</v>
      </c>
      <c r="B147" s="222" t="s">
        <v>317</v>
      </c>
      <c r="C147" s="244">
        <v>2.3990399999999999E-2</v>
      </c>
      <c r="D147" s="257">
        <v>34895987</v>
      </c>
      <c r="F147" s="253"/>
      <c r="H147" s="254"/>
    </row>
    <row r="148" spans="1:8" ht="14.4" x14ac:dyDescent="0.3">
      <c r="A148" s="220">
        <v>34105</v>
      </c>
      <c r="B148" s="222" t="s">
        <v>75</v>
      </c>
      <c r="C148" s="244">
        <v>1.7868999999999999E-3</v>
      </c>
      <c r="D148" s="257">
        <v>3212920</v>
      </c>
      <c r="F148" s="253"/>
      <c r="H148" s="254"/>
    </row>
    <row r="149" spans="1:8" ht="14.4" x14ac:dyDescent="0.3">
      <c r="A149" s="249">
        <v>34200</v>
      </c>
      <c r="B149" s="250" t="s">
        <v>318</v>
      </c>
      <c r="C149" s="244">
        <v>6.4289999999999996E-4</v>
      </c>
      <c r="D149" s="257">
        <v>1042790</v>
      </c>
      <c r="F149" s="253"/>
      <c r="H149" s="254"/>
    </row>
    <row r="150" spans="1:8" ht="14.4" x14ac:dyDescent="0.3">
      <c r="A150" s="249">
        <v>34205</v>
      </c>
      <c r="B150" s="250" t="s">
        <v>76</v>
      </c>
      <c r="C150" s="244">
        <v>2.9090000000000002E-4</v>
      </c>
      <c r="D150" s="257">
        <v>439680</v>
      </c>
      <c r="F150" s="253"/>
      <c r="H150" s="254"/>
    </row>
    <row r="151" spans="1:8" ht="14.4" x14ac:dyDescent="0.3">
      <c r="A151" s="249">
        <v>34220</v>
      </c>
      <c r="B151" s="250" t="s">
        <v>319</v>
      </c>
      <c r="C151" s="244">
        <v>9.7879999999999994E-4</v>
      </c>
      <c r="D151" s="257">
        <v>1395419</v>
      </c>
      <c r="F151" s="253"/>
      <c r="H151" s="254"/>
    </row>
    <row r="152" spans="1:8" ht="14.4" x14ac:dyDescent="0.3">
      <c r="A152" s="249">
        <v>34230</v>
      </c>
      <c r="B152" s="250" t="s">
        <v>320</v>
      </c>
      <c r="C152" s="244">
        <v>3.434E-4</v>
      </c>
      <c r="D152" s="257">
        <v>494003</v>
      </c>
      <c r="F152" s="253"/>
      <c r="H152" s="254"/>
    </row>
    <row r="153" spans="1:8" ht="14.4" x14ac:dyDescent="0.3">
      <c r="A153" s="249">
        <v>34300</v>
      </c>
      <c r="B153" s="250" t="s">
        <v>321</v>
      </c>
      <c r="C153" s="244">
        <v>5.3562000000000002E-3</v>
      </c>
      <c r="D153" s="257">
        <v>8115885</v>
      </c>
      <c r="F153" s="253"/>
      <c r="H153" s="254"/>
    </row>
    <row r="154" spans="1:8" ht="14.4" x14ac:dyDescent="0.3">
      <c r="A154" s="249">
        <v>34400</v>
      </c>
      <c r="B154" s="250" t="s">
        <v>322</v>
      </c>
      <c r="C154" s="244">
        <v>2.3814000000000001E-3</v>
      </c>
      <c r="D154" s="257">
        <v>3220596</v>
      </c>
      <c r="F154" s="253"/>
      <c r="H154" s="254"/>
    </row>
    <row r="155" spans="1:8" ht="14.4" x14ac:dyDescent="0.3">
      <c r="A155" s="220">
        <v>34405</v>
      </c>
      <c r="B155" s="222" t="s">
        <v>77</v>
      </c>
      <c r="C155" s="244">
        <v>4.0479999999999997E-4</v>
      </c>
      <c r="D155" s="257">
        <v>601160</v>
      </c>
      <c r="F155" s="253"/>
      <c r="H155" s="254"/>
    </row>
    <row r="156" spans="1:8" ht="14.4" x14ac:dyDescent="0.3">
      <c r="A156" s="220">
        <v>34500</v>
      </c>
      <c r="B156" s="222" t="s">
        <v>323</v>
      </c>
      <c r="C156" s="244">
        <v>4.6477999999999997E-3</v>
      </c>
      <c r="D156" s="257">
        <v>6274412</v>
      </c>
      <c r="F156" s="253"/>
      <c r="H156" s="254"/>
    </row>
    <row r="157" spans="1:8" ht="14.4" x14ac:dyDescent="0.3">
      <c r="A157" s="220">
        <v>34501</v>
      </c>
      <c r="B157" s="222" t="s">
        <v>324</v>
      </c>
      <c r="C157" s="244">
        <v>6.8999999999999997E-5</v>
      </c>
      <c r="D157" s="257">
        <v>81397</v>
      </c>
      <c r="F157" s="253"/>
      <c r="H157" s="254"/>
    </row>
    <row r="158" spans="1:8" ht="14.4" x14ac:dyDescent="0.3">
      <c r="A158" s="220">
        <v>34505</v>
      </c>
      <c r="B158" s="222" t="s">
        <v>78</v>
      </c>
      <c r="C158" s="244">
        <v>5.9559999999999995E-4</v>
      </c>
      <c r="D158" s="257">
        <v>1015607</v>
      </c>
      <c r="F158" s="253"/>
      <c r="H158" s="254"/>
    </row>
    <row r="159" spans="1:8" ht="14.4" x14ac:dyDescent="0.3">
      <c r="A159" s="220">
        <v>34600</v>
      </c>
      <c r="B159" s="222" t="s">
        <v>325</v>
      </c>
      <c r="C159" s="244">
        <v>9.4160000000000001E-4</v>
      </c>
      <c r="D159" s="257">
        <v>1415503</v>
      </c>
      <c r="F159" s="253"/>
      <c r="H159" s="254"/>
    </row>
    <row r="160" spans="1:8" ht="14.4" x14ac:dyDescent="0.3">
      <c r="A160" s="220">
        <v>34605</v>
      </c>
      <c r="B160" s="222" t="s">
        <v>79</v>
      </c>
      <c r="C160" s="244">
        <v>1.5579999999999999E-4</v>
      </c>
      <c r="D160" s="257">
        <v>258831</v>
      </c>
      <c r="F160" s="253"/>
      <c r="H160" s="254"/>
    </row>
    <row r="161" spans="1:8" ht="14.4" x14ac:dyDescent="0.3">
      <c r="A161" s="249">
        <v>34700</v>
      </c>
      <c r="B161" s="250" t="s">
        <v>326</v>
      </c>
      <c r="C161" s="244">
        <v>2.7455000000000001E-3</v>
      </c>
      <c r="D161" s="257">
        <v>3892810</v>
      </c>
      <c r="F161" s="253"/>
      <c r="H161" s="254"/>
    </row>
    <row r="162" spans="1:8" ht="14.4" x14ac:dyDescent="0.3">
      <c r="A162" s="249">
        <v>34800</v>
      </c>
      <c r="B162" s="250" t="s">
        <v>327</v>
      </c>
      <c r="C162" s="244">
        <v>2.8699999999999998E-4</v>
      </c>
      <c r="D162" s="257">
        <v>453297</v>
      </c>
      <c r="F162" s="253"/>
      <c r="H162" s="254"/>
    </row>
    <row r="163" spans="1:8" ht="14.4" x14ac:dyDescent="0.3">
      <c r="A163" s="249">
        <v>34900</v>
      </c>
      <c r="B163" s="250" t="s">
        <v>482</v>
      </c>
      <c r="C163" s="244">
        <v>6.4362000000000004E-3</v>
      </c>
      <c r="D163" s="257">
        <v>9504442</v>
      </c>
      <c r="F163" s="253"/>
      <c r="H163" s="254"/>
    </row>
    <row r="164" spans="1:8" ht="14.4" x14ac:dyDescent="0.3">
      <c r="A164" s="249">
        <v>34901</v>
      </c>
      <c r="B164" s="250" t="s">
        <v>455</v>
      </c>
      <c r="C164" s="244">
        <v>1.885E-4</v>
      </c>
      <c r="D164" s="257">
        <v>276425</v>
      </c>
      <c r="F164" s="253"/>
      <c r="H164" s="254"/>
    </row>
    <row r="165" spans="1:8" ht="14.4" x14ac:dyDescent="0.3">
      <c r="A165" s="249">
        <v>34903</v>
      </c>
      <c r="B165" s="250" t="s">
        <v>328</v>
      </c>
      <c r="C165" s="244">
        <v>3.2299999999999999E-5</v>
      </c>
      <c r="D165" s="257">
        <v>44678</v>
      </c>
      <c r="F165" s="253"/>
      <c r="H165" s="254"/>
    </row>
    <row r="166" spans="1:8" ht="14.4" x14ac:dyDescent="0.3">
      <c r="A166" s="249">
        <v>34905</v>
      </c>
      <c r="B166" s="250" t="s">
        <v>80</v>
      </c>
      <c r="C166" s="244">
        <v>5.8129999999999998E-4</v>
      </c>
      <c r="D166" s="257">
        <v>873907</v>
      </c>
      <c r="F166" s="253"/>
      <c r="H166" s="254"/>
    </row>
    <row r="167" spans="1:8" ht="14.4" x14ac:dyDescent="0.3">
      <c r="A167" s="249">
        <v>34910</v>
      </c>
      <c r="B167" s="250" t="s">
        <v>329</v>
      </c>
      <c r="C167" s="244">
        <v>2.0782999999999999E-3</v>
      </c>
      <c r="D167" s="257">
        <v>2943375</v>
      </c>
      <c r="F167" s="253"/>
      <c r="H167" s="254"/>
    </row>
    <row r="168" spans="1:8" ht="14.4" x14ac:dyDescent="0.3">
      <c r="A168" s="249">
        <v>35000</v>
      </c>
      <c r="B168" s="250" t="s">
        <v>330</v>
      </c>
      <c r="C168" s="244">
        <v>1.3988E-3</v>
      </c>
      <c r="D168" s="257">
        <v>1914961</v>
      </c>
      <c r="F168" s="253"/>
      <c r="H168" s="254"/>
    </row>
    <row r="169" spans="1:8" ht="14.4" x14ac:dyDescent="0.3">
      <c r="A169" s="249">
        <v>35005</v>
      </c>
      <c r="B169" s="250" t="s">
        <v>81</v>
      </c>
      <c r="C169" s="244">
        <v>4.7160000000000002E-4</v>
      </c>
      <c r="D169" s="257">
        <v>778910</v>
      </c>
      <c r="F169" s="253"/>
      <c r="H169" s="254"/>
    </row>
    <row r="170" spans="1:8" ht="14.4" x14ac:dyDescent="0.3">
      <c r="A170" s="249">
        <v>35100</v>
      </c>
      <c r="B170" s="250" t="s">
        <v>331</v>
      </c>
      <c r="C170" s="244">
        <v>1.17903E-2</v>
      </c>
      <c r="D170" s="257">
        <v>16659920</v>
      </c>
      <c r="F170" s="253"/>
      <c r="H170" s="254"/>
    </row>
    <row r="171" spans="1:8" ht="14.4" x14ac:dyDescent="0.3">
      <c r="A171" s="249">
        <v>35105</v>
      </c>
      <c r="B171" s="250" t="s">
        <v>82</v>
      </c>
      <c r="C171" s="244">
        <v>1.0106E-3</v>
      </c>
      <c r="D171" s="257">
        <v>1529119</v>
      </c>
      <c r="F171" s="253"/>
      <c r="H171" s="254"/>
    </row>
    <row r="172" spans="1:8" ht="14.4" x14ac:dyDescent="0.3">
      <c r="A172" s="249">
        <v>35106</v>
      </c>
      <c r="B172" s="250" t="s">
        <v>332</v>
      </c>
      <c r="C172" s="244">
        <v>2.1049999999999999E-4</v>
      </c>
      <c r="D172" s="257">
        <v>281733</v>
      </c>
      <c r="F172" s="253"/>
      <c r="H172" s="254"/>
    </row>
    <row r="173" spans="1:8" ht="14.4" x14ac:dyDescent="0.3">
      <c r="A173" s="220">
        <v>35200</v>
      </c>
      <c r="B173" s="222" t="s">
        <v>333</v>
      </c>
      <c r="C173" s="244">
        <v>4.44E-4</v>
      </c>
      <c r="D173" s="257">
        <v>691553</v>
      </c>
      <c r="F173" s="253"/>
      <c r="H173" s="254"/>
    </row>
    <row r="174" spans="1:8" ht="14.4" x14ac:dyDescent="0.3">
      <c r="A174" s="220">
        <v>35300</v>
      </c>
      <c r="B174" s="222" t="s">
        <v>456</v>
      </c>
      <c r="C174" s="244">
        <v>3.1919000000000001E-3</v>
      </c>
      <c r="D174" s="257">
        <v>4477640</v>
      </c>
      <c r="F174" s="253"/>
      <c r="H174" s="254"/>
    </row>
    <row r="175" spans="1:8" ht="14.4" x14ac:dyDescent="0.3">
      <c r="A175" s="220">
        <v>35305</v>
      </c>
      <c r="B175" s="222" t="s">
        <v>83</v>
      </c>
      <c r="C175" s="244">
        <v>1.3519999999999999E-3</v>
      </c>
      <c r="D175" s="257">
        <v>1865641</v>
      </c>
      <c r="F175" s="253"/>
      <c r="H175" s="254"/>
    </row>
    <row r="176" spans="1:8" ht="14.4" x14ac:dyDescent="0.3">
      <c r="A176" s="220">
        <v>35400</v>
      </c>
      <c r="B176" s="222" t="s">
        <v>334</v>
      </c>
      <c r="C176" s="244">
        <v>2.8227E-3</v>
      </c>
      <c r="D176" s="257">
        <v>4002193</v>
      </c>
      <c r="F176" s="253"/>
      <c r="H176" s="254"/>
    </row>
    <row r="177" spans="1:8" ht="14.4" x14ac:dyDescent="0.3">
      <c r="A177" s="220">
        <v>35401</v>
      </c>
      <c r="B177" s="222" t="s">
        <v>335</v>
      </c>
      <c r="C177" s="244">
        <v>2.8900000000000001E-5</v>
      </c>
      <c r="D177" s="257">
        <v>29086</v>
      </c>
      <c r="F177" s="253"/>
      <c r="H177" s="254"/>
    </row>
    <row r="178" spans="1:8" ht="14.4" x14ac:dyDescent="0.3">
      <c r="A178" s="220">
        <v>35405</v>
      </c>
      <c r="B178" s="222" t="s">
        <v>84</v>
      </c>
      <c r="C178" s="244">
        <v>7.4359999999999997E-4</v>
      </c>
      <c r="D178" s="257">
        <v>1034103</v>
      </c>
      <c r="F178" s="253"/>
      <c r="H178" s="254"/>
    </row>
    <row r="179" spans="1:8" ht="14.4" x14ac:dyDescent="0.3">
      <c r="A179" s="249">
        <v>35500</v>
      </c>
      <c r="B179" s="250" t="s">
        <v>336</v>
      </c>
      <c r="C179" s="244">
        <v>3.8289000000000001E-3</v>
      </c>
      <c r="D179" s="257">
        <v>5367268</v>
      </c>
      <c r="F179" s="253"/>
      <c r="H179" s="254"/>
    </row>
    <row r="180" spans="1:8" ht="14.4" x14ac:dyDescent="0.3">
      <c r="A180" s="249">
        <v>35600</v>
      </c>
      <c r="B180" s="250" t="s">
        <v>337</v>
      </c>
      <c r="C180" s="244">
        <v>1.5612E-3</v>
      </c>
      <c r="D180" s="257">
        <v>2276651</v>
      </c>
      <c r="F180" s="253"/>
      <c r="H180" s="254"/>
    </row>
    <row r="181" spans="1:8" ht="14.4" x14ac:dyDescent="0.3">
      <c r="A181" s="249">
        <v>35700</v>
      </c>
      <c r="B181" s="250" t="s">
        <v>338</v>
      </c>
      <c r="C181" s="244">
        <v>8.6530000000000005E-4</v>
      </c>
      <c r="D181" s="257">
        <v>1282888</v>
      </c>
      <c r="F181" s="253"/>
      <c r="H181" s="254"/>
    </row>
    <row r="182" spans="1:8" ht="14.4" x14ac:dyDescent="0.3">
      <c r="A182" s="249">
        <v>35800</v>
      </c>
      <c r="B182" s="250" t="s">
        <v>339</v>
      </c>
      <c r="C182" s="244">
        <v>1.0468999999999999E-3</v>
      </c>
      <c r="D182" s="257">
        <v>1468999</v>
      </c>
      <c r="F182" s="253"/>
      <c r="H182" s="254"/>
    </row>
    <row r="183" spans="1:8" ht="14.4" x14ac:dyDescent="0.3">
      <c r="A183" s="249">
        <v>35805</v>
      </c>
      <c r="B183" s="250" t="s">
        <v>85</v>
      </c>
      <c r="C183" s="244">
        <v>2.1039999999999999E-4</v>
      </c>
      <c r="D183" s="257">
        <v>356479</v>
      </c>
      <c r="F183" s="253"/>
      <c r="H183" s="254"/>
    </row>
    <row r="184" spans="1:8" ht="14.4" x14ac:dyDescent="0.3">
      <c r="A184" s="249">
        <v>35900</v>
      </c>
      <c r="B184" s="250" t="s">
        <v>340</v>
      </c>
      <c r="C184" s="244">
        <v>1.9583999999999999E-3</v>
      </c>
      <c r="D184" s="257">
        <v>2899881</v>
      </c>
      <c r="F184" s="253"/>
      <c r="H184" s="254"/>
    </row>
    <row r="185" spans="1:8" ht="14.4" x14ac:dyDescent="0.3">
      <c r="A185" s="220">
        <v>35905</v>
      </c>
      <c r="B185" s="222" t="s">
        <v>86</v>
      </c>
      <c r="C185" s="244">
        <v>3.1100000000000002E-4</v>
      </c>
      <c r="D185" s="257">
        <v>498347</v>
      </c>
      <c r="F185" s="253"/>
      <c r="H185" s="254"/>
    </row>
    <row r="186" spans="1:8" ht="14.4" x14ac:dyDescent="0.3">
      <c r="A186" s="220">
        <v>36000</v>
      </c>
      <c r="B186" s="222" t="s">
        <v>341</v>
      </c>
      <c r="C186" s="244">
        <v>5.06046E-2</v>
      </c>
      <c r="D186" s="257">
        <v>72582162</v>
      </c>
      <c r="F186" s="253"/>
      <c r="H186" s="254"/>
    </row>
    <row r="187" spans="1:8" ht="14.4" x14ac:dyDescent="0.3">
      <c r="A187" s="220">
        <v>36003</v>
      </c>
      <c r="B187" s="222" t="s">
        <v>342</v>
      </c>
      <c r="C187" s="244">
        <v>3.9599999999999998E-4</v>
      </c>
      <c r="D187" s="257">
        <v>544348</v>
      </c>
      <c r="F187" s="253"/>
      <c r="H187" s="254"/>
    </row>
    <row r="188" spans="1:8" ht="14.4" x14ac:dyDescent="0.3">
      <c r="A188" s="220">
        <v>36004</v>
      </c>
      <c r="B188" s="222" t="s">
        <v>483</v>
      </c>
      <c r="C188" s="244">
        <v>2.5799999999999998E-4</v>
      </c>
      <c r="D188" s="257">
        <v>411064</v>
      </c>
      <c r="F188" s="253"/>
      <c r="H188" s="254"/>
    </row>
    <row r="189" spans="1:8" ht="14.4" x14ac:dyDescent="0.3">
      <c r="A189" s="220">
        <v>36005</v>
      </c>
      <c r="B189" s="222" t="s">
        <v>87</v>
      </c>
      <c r="C189" s="244">
        <v>3.6925999999999999E-3</v>
      </c>
      <c r="D189" s="257">
        <v>5637830</v>
      </c>
      <c r="F189" s="253"/>
      <c r="H189" s="254"/>
    </row>
    <row r="190" spans="1:8" ht="14.4" x14ac:dyDescent="0.3">
      <c r="A190" s="220">
        <v>36006</v>
      </c>
      <c r="B190" s="222" t="s">
        <v>343</v>
      </c>
      <c r="C190" s="244">
        <v>7.1759999999999999E-4</v>
      </c>
      <c r="D190" s="257">
        <v>815494</v>
      </c>
      <c r="F190" s="253"/>
      <c r="H190" s="254"/>
    </row>
    <row r="191" spans="1:8" ht="14.4" x14ac:dyDescent="0.3">
      <c r="A191" s="249">
        <v>36007</v>
      </c>
      <c r="B191" s="250" t="s">
        <v>344</v>
      </c>
      <c r="C191" s="244">
        <v>2.318E-4</v>
      </c>
      <c r="D191" s="257">
        <v>346118</v>
      </c>
      <c r="F191" s="253"/>
      <c r="H191" s="254"/>
    </row>
    <row r="192" spans="1:8" ht="14.4" x14ac:dyDescent="0.3">
      <c r="A192" s="249">
        <v>36008</v>
      </c>
      <c r="B192" s="250" t="s">
        <v>345</v>
      </c>
      <c r="C192" s="244">
        <v>5.9040000000000004E-4</v>
      </c>
      <c r="D192" s="257">
        <v>694654</v>
      </c>
      <c r="F192" s="253"/>
      <c r="H192" s="254"/>
    </row>
    <row r="193" spans="1:8" ht="14.4" x14ac:dyDescent="0.3">
      <c r="A193" s="249">
        <v>36009</v>
      </c>
      <c r="B193" s="250" t="s">
        <v>346</v>
      </c>
      <c r="C193" s="244">
        <v>5.4299999999999998E-5</v>
      </c>
      <c r="D193" s="257">
        <v>78228</v>
      </c>
      <c r="F193" s="253"/>
      <c r="H193" s="254"/>
    </row>
    <row r="194" spans="1:8" ht="14.4" x14ac:dyDescent="0.3">
      <c r="A194" s="249">
        <v>36100</v>
      </c>
      <c r="B194" s="250" t="s">
        <v>347</v>
      </c>
      <c r="C194" s="244">
        <v>6.5399999999999996E-4</v>
      </c>
      <c r="D194" s="257">
        <v>950034</v>
      </c>
      <c r="F194" s="253"/>
      <c r="H194" s="254"/>
    </row>
    <row r="195" spans="1:8" ht="14.4" x14ac:dyDescent="0.3">
      <c r="A195" s="249">
        <v>36105</v>
      </c>
      <c r="B195" s="250" t="s">
        <v>88</v>
      </c>
      <c r="C195" s="244">
        <v>2.786E-4</v>
      </c>
      <c r="D195" s="257">
        <v>447849</v>
      </c>
      <c r="F195" s="253"/>
      <c r="H195" s="254"/>
    </row>
    <row r="196" spans="1:8" ht="14.4" x14ac:dyDescent="0.3">
      <c r="A196" s="249">
        <v>36200</v>
      </c>
      <c r="B196" s="250" t="s">
        <v>349</v>
      </c>
      <c r="C196" s="244">
        <v>1.1379000000000001E-3</v>
      </c>
      <c r="D196" s="257">
        <v>1796814</v>
      </c>
      <c r="F196" s="253"/>
      <c r="H196" s="254"/>
    </row>
    <row r="197" spans="1:8" ht="14.4" x14ac:dyDescent="0.3">
      <c r="A197" s="220">
        <v>36205</v>
      </c>
      <c r="B197" s="222" t="s">
        <v>89</v>
      </c>
      <c r="C197" s="244">
        <v>2.543E-4</v>
      </c>
      <c r="D197" s="257">
        <v>403146</v>
      </c>
      <c r="F197" s="253"/>
      <c r="H197" s="254"/>
    </row>
    <row r="198" spans="1:8" ht="14.4" x14ac:dyDescent="0.3">
      <c r="A198" s="220">
        <v>36300</v>
      </c>
      <c r="B198" s="222" t="s">
        <v>350</v>
      </c>
      <c r="C198" s="244">
        <v>4.1843000000000002E-3</v>
      </c>
      <c r="D198" s="257">
        <v>6193650</v>
      </c>
      <c r="F198" s="253"/>
      <c r="H198" s="254"/>
    </row>
    <row r="199" spans="1:8" ht="14.4" x14ac:dyDescent="0.3">
      <c r="A199" s="220">
        <v>36301</v>
      </c>
      <c r="B199" s="222" t="s">
        <v>351</v>
      </c>
      <c r="C199" s="244">
        <v>1.2740000000000001E-4</v>
      </c>
      <c r="D199" s="257">
        <v>157556</v>
      </c>
      <c r="F199" s="253"/>
      <c r="H199" s="254"/>
    </row>
    <row r="200" spans="1:8" ht="14.4" x14ac:dyDescent="0.3">
      <c r="A200" s="220">
        <v>36302</v>
      </c>
      <c r="B200" s="222" t="s">
        <v>352</v>
      </c>
      <c r="C200" s="244">
        <v>2.018E-4</v>
      </c>
      <c r="D200" s="257">
        <v>247216</v>
      </c>
      <c r="F200" s="253"/>
      <c r="H200" s="254"/>
    </row>
    <row r="201" spans="1:8" ht="14.4" x14ac:dyDescent="0.3">
      <c r="A201" s="220">
        <v>36303</v>
      </c>
      <c r="B201" s="222" t="s">
        <v>242</v>
      </c>
      <c r="C201" s="244">
        <v>2.8299999999999999E-4</v>
      </c>
      <c r="D201" s="257">
        <v>314503</v>
      </c>
      <c r="F201" s="253"/>
      <c r="H201" s="254"/>
    </row>
    <row r="202" spans="1:8" ht="14.4" x14ac:dyDescent="0.3">
      <c r="A202" s="220">
        <v>36305</v>
      </c>
      <c r="B202" s="222" t="s">
        <v>90</v>
      </c>
      <c r="C202" s="244">
        <v>8.7719999999999996E-4</v>
      </c>
      <c r="D202" s="257">
        <v>1398034</v>
      </c>
      <c r="F202" s="253"/>
      <c r="H202" s="254"/>
    </row>
    <row r="203" spans="1:8" ht="14.4" x14ac:dyDescent="0.3">
      <c r="A203" s="249">
        <v>36400</v>
      </c>
      <c r="B203" s="250" t="s">
        <v>353</v>
      </c>
      <c r="C203" s="244">
        <v>4.4438999999999998E-3</v>
      </c>
      <c r="D203" s="257">
        <v>6462331</v>
      </c>
      <c r="F203" s="253"/>
      <c r="H203" s="254"/>
    </row>
    <row r="204" spans="1:8" ht="14.4" x14ac:dyDescent="0.3">
      <c r="A204" s="249">
        <v>36401</v>
      </c>
      <c r="B204" s="250" t="s">
        <v>840</v>
      </c>
      <c r="C204" s="244"/>
      <c r="D204" s="257">
        <v>73989</v>
      </c>
      <c r="F204" s="253"/>
      <c r="H204" s="254"/>
    </row>
    <row r="205" spans="1:8" ht="14.4" x14ac:dyDescent="0.3">
      <c r="A205" s="249">
        <v>36405</v>
      </c>
      <c r="B205" s="250" t="s">
        <v>484</v>
      </c>
      <c r="C205" s="244">
        <v>5.8390000000000004E-4</v>
      </c>
      <c r="D205" s="257">
        <v>943361</v>
      </c>
      <c r="F205" s="253"/>
      <c r="H205" s="254"/>
    </row>
    <row r="206" spans="1:8" ht="14.4" x14ac:dyDescent="0.3">
      <c r="A206" s="249">
        <v>36500</v>
      </c>
      <c r="B206" s="250" t="s">
        <v>354</v>
      </c>
      <c r="C206" s="244">
        <v>9.6185000000000003E-3</v>
      </c>
      <c r="D206" s="257">
        <v>13774790</v>
      </c>
      <c r="F206" s="253"/>
      <c r="H206" s="254"/>
    </row>
    <row r="207" spans="1:8" ht="14.4" x14ac:dyDescent="0.3">
      <c r="A207" s="249">
        <v>36501</v>
      </c>
      <c r="B207" s="250" t="s">
        <v>457</v>
      </c>
      <c r="C207" s="244">
        <v>1.3200000000000001E-4</v>
      </c>
      <c r="D207" s="257">
        <v>169671</v>
      </c>
      <c r="F207" s="253"/>
      <c r="H207" s="254"/>
    </row>
    <row r="208" spans="1:8" ht="14.4" x14ac:dyDescent="0.3">
      <c r="A208" s="249">
        <v>36502</v>
      </c>
      <c r="B208" s="250" t="s">
        <v>838</v>
      </c>
      <c r="C208" s="244">
        <v>1.8600000000000001E-5</v>
      </c>
      <c r="D208" s="257">
        <v>28439</v>
      </c>
      <c r="F208" s="253"/>
      <c r="H208" s="254"/>
    </row>
    <row r="209" spans="1:8" ht="14.4" x14ac:dyDescent="0.3">
      <c r="A209" s="249">
        <v>36505</v>
      </c>
      <c r="B209" s="250" t="s">
        <v>92</v>
      </c>
      <c r="C209" s="244">
        <v>1.7902E-3</v>
      </c>
      <c r="D209" s="257">
        <v>2865200</v>
      </c>
      <c r="F209" s="253"/>
      <c r="H209" s="254"/>
    </row>
    <row r="210" spans="1:8" ht="14.4" x14ac:dyDescent="0.3">
      <c r="A210" s="220">
        <v>36600</v>
      </c>
      <c r="B210" s="222" t="s">
        <v>355</v>
      </c>
      <c r="C210" s="244">
        <v>4.6329999999999999E-4</v>
      </c>
      <c r="D210" s="257">
        <v>721384</v>
      </c>
      <c r="F210" s="253"/>
      <c r="H210" s="254"/>
    </row>
    <row r="211" spans="1:8" ht="14.4" x14ac:dyDescent="0.3">
      <c r="A211" s="220">
        <v>36700</v>
      </c>
      <c r="B211" s="223" t="s">
        <v>357</v>
      </c>
      <c r="C211" s="244">
        <v>8.0388999999999999E-3</v>
      </c>
      <c r="D211" s="257">
        <v>12419914</v>
      </c>
      <c r="F211" s="253"/>
      <c r="H211" s="254"/>
    </row>
    <row r="212" spans="1:8" ht="14.4" x14ac:dyDescent="0.3">
      <c r="A212" s="220">
        <v>36701</v>
      </c>
      <c r="B212" s="222" t="s">
        <v>358</v>
      </c>
      <c r="C212" s="244">
        <v>2.5999999999999998E-5</v>
      </c>
      <c r="D212" s="257">
        <v>37534</v>
      </c>
      <c r="F212" s="253"/>
      <c r="H212" s="254"/>
    </row>
    <row r="213" spans="1:8" ht="14.4" x14ac:dyDescent="0.3">
      <c r="A213" s="220">
        <v>36705</v>
      </c>
      <c r="B213" s="222" t="s">
        <v>93</v>
      </c>
      <c r="C213" s="244">
        <v>7.6400000000000003E-4</v>
      </c>
      <c r="D213" s="257">
        <v>1205384</v>
      </c>
      <c r="F213" s="253"/>
      <c r="H213" s="254"/>
    </row>
    <row r="214" spans="1:8" ht="14.4" x14ac:dyDescent="0.3">
      <c r="A214" s="220">
        <v>36800</v>
      </c>
      <c r="B214" s="222" t="s">
        <v>359</v>
      </c>
      <c r="C214" s="244">
        <v>3.0209E-3</v>
      </c>
      <c r="D214" s="257">
        <v>4232140</v>
      </c>
      <c r="F214" s="253"/>
      <c r="H214" s="254"/>
    </row>
    <row r="215" spans="1:8" ht="14.4" x14ac:dyDescent="0.3">
      <c r="A215" s="220">
        <v>36802</v>
      </c>
      <c r="B215" s="223" t="s">
        <v>360</v>
      </c>
      <c r="C215" s="244">
        <v>2.6580000000000001E-4</v>
      </c>
      <c r="D215" s="257">
        <v>313363</v>
      </c>
      <c r="F215" s="253"/>
      <c r="H215" s="254"/>
    </row>
    <row r="216" spans="1:8" ht="14.4" x14ac:dyDescent="0.3">
      <c r="A216" s="249">
        <v>36810</v>
      </c>
      <c r="B216" s="250" t="s">
        <v>485</v>
      </c>
      <c r="C216" s="244">
        <v>6.0675E-3</v>
      </c>
      <c r="D216" s="257">
        <v>8324608</v>
      </c>
      <c r="F216" s="253"/>
      <c r="H216" s="254"/>
    </row>
    <row r="217" spans="1:8" ht="14.4" x14ac:dyDescent="0.3">
      <c r="A217" s="249">
        <v>36900</v>
      </c>
      <c r="B217" s="250" t="s">
        <v>361</v>
      </c>
      <c r="C217" s="244">
        <v>5.8549999999999997E-4</v>
      </c>
      <c r="D217" s="257">
        <v>826721</v>
      </c>
      <c r="F217" s="253"/>
      <c r="H217" s="254"/>
    </row>
    <row r="218" spans="1:8" ht="14.4" x14ac:dyDescent="0.3">
      <c r="A218" s="249">
        <v>36901</v>
      </c>
      <c r="B218" s="250" t="s">
        <v>362</v>
      </c>
      <c r="C218" s="244">
        <v>2.0900000000000001E-4</v>
      </c>
      <c r="D218" s="257">
        <v>335322</v>
      </c>
      <c r="F218" s="253"/>
      <c r="H218" s="254"/>
    </row>
    <row r="219" spans="1:8" ht="14.4" x14ac:dyDescent="0.3">
      <c r="A219" s="249">
        <v>36905</v>
      </c>
      <c r="B219" s="250" t="s">
        <v>94</v>
      </c>
      <c r="C219" s="244">
        <v>1.6890000000000001E-4</v>
      </c>
      <c r="D219" s="257">
        <v>271970</v>
      </c>
      <c r="F219" s="253"/>
      <c r="H219" s="254"/>
    </row>
    <row r="220" spans="1:8" ht="14.4" x14ac:dyDescent="0.3">
      <c r="A220" s="249">
        <v>37000</v>
      </c>
      <c r="B220" s="250" t="s">
        <v>363</v>
      </c>
      <c r="C220" s="244">
        <v>1.5678000000000001E-3</v>
      </c>
      <c r="D220" s="257">
        <v>2388882</v>
      </c>
      <c r="F220" s="253"/>
      <c r="H220" s="254"/>
    </row>
    <row r="221" spans="1:8" ht="14.4" x14ac:dyDescent="0.3">
      <c r="A221" s="249">
        <v>37001</v>
      </c>
      <c r="B221" s="250" t="s">
        <v>458</v>
      </c>
      <c r="C221" s="244">
        <v>1.7819999999999999E-4</v>
      </c>
      <c r="D221" s="257">
        <v>275114</v>
      </c>
      <c r="F221" s="253"/>
      <c r="H221" s="254"/>
    </row>
    <row r="222" spans="1:8" ht="14.4" x14ac:dyDescent="0.3">
      <c r="A222" s="249">
        <v>37005</v>
      </c>
      <c r="B222" s="250" t="s">
        <v>95</v>
      </c>
      <c r="C222" s="244">
        <v>5.0210000000000001E-4</v>
      </c>
      <c r="D222" s="257">
        <v>819278</v>
      </c>
      <c r="F222" s="253"/>
      <c r="H222" s="254"/>
    </row>
    <row r="223" spans="1:8" ht="14.4" x14ac:dyDescent="0.3">
      <c r="A223" s="249">
        <v>37100</v>
      </c>
      <c r="B223" s="250" t="s">
        <v>364</v>
      </c>
      <c r="C223" s="244">
        <v>3.4729000000000001E-3</v>
      </c>
      <c r="D223" s="257">
        <v>4904715</v>
      </c>
      <c r="F223" s="253"/>
      <c r="H223" s="254"/>
    </row>
    <row r="224" spans="1:8" ht="16.2" customHeight="1" x14ac:dyDescent="0.3">
      <c r="A224" s="249">
        <v>37200</v>
      </c>
      <c r="B224" s="250" t="s">
        <v>365</v>
      </c>
      <c r="C224" s="244">
        <v>6.8650000000000004E-4</v>
      </c>
      <c r="D224" s="257">
        <v>935422</v>
      </c>
      <c r="F224" s="253"/>
      <c r="H224" s="254"/>
    </row>
    <row r="225" spans="1:8" ht="14.4" x14ac:dyDescent="0.3">
      <c r="A225" s="249">
        <v>37300</v>
      </c>
      <c r="B225" s="250" t="s">
        <v>366</v>
      </c>
      <c r="C225" s="244">
        <v>1.6115000000000001E-3</v>
      </c>
      <c r="D225" s="257">
        <v>2255103</v>
      </c>
      <c r="F225" s="253"/>
      <c r="H225" s="254"/>
    </row>
    <row r="226" spans="1:8" ht="14.4" x14ac:dyDescent="0.3">
      <c r="A226" s="249">
        <v>37301</v>
      </c>
      <c r="B226" s="250" t="s">
        <v>367</v>
      </c>
      <c r="C226" s="244">
        <v>1.6469999999999999E-4</v>
      </c>
      <c r="D226" s="257">
        <v>251777</v>
      </c>
      <c r="F226" s="253"/>
      <c r="H226" s="254"/>
    </row>
    <row r="227" spans="1:8" ht="14.4" x14ac:dyDescent="0.3">
      <c r="A227" s="249">
        <v>37305</v>
      </c>
      <c r="B227" s="250" t="s">
        <v>96</v>
      </c>
      <c r="C227" s="244">
        <v>3.3110000000000002E-4</v>
      </c>
      <c r="D227" s="257">
        <v>621798</v>
      </c>
      <c r="F227" s="253"/>
      <c r="H227" s="254"/>
    </row>
    <row r="228" spans="1:8" ht="14.4" x14ac:dyDescent="0.3">
      <c r="A228" s="220">
        <v>37400</v>
      </c>
      <c r="B228" s="222" t="s">
        <v>368</v>
      </c>
      <c r="C228" s="244">
        <v>8.1116000000000001E-3</v>
      </c>
      <c r="D228" s="257">
        <v>11027408</v>
      </c>
      <c r="F228" s="253"/>
      <c r="H228" s="254"/>
    </row>
    <row r="229" spans="1:8" ht="14.4" x14ac:dyDescent="0.3">
      <c r="A229" s="220">
        <v>37405</v>
      </c>
      <c r="B229" s="222" t="s">
        <v>97</v>
      </c>
      <c r="C229" s="244">
        <v>1.5697E-3</v>
      </c>
      <c r="D229" s="257">
        <v>2279064</v>
      </c>
      <c r="F229" s="253"/>
      <c r="H229" s="254"/>
    </row>
    <row r="230" spans="1:8" ht="14.4" x14ac:dyDescent="0.3">
      <c r="A230" s="220">
        <v>37500</v>
      </c>
      <c r="B230" s="222" t="s">
        <v>369</v>
      </c>
      <c r="C230" s="244">
        <v>8.9860000000000005E-4</v>
      </c>
      <c r="D230" s="257">
        <v>1338571</v>
      </c>
      <c r="F230" s="253"/>
      <c r="H230" s="254"/>
    </row>
    <row r="231" spans="1:8" ht="14.4" x14ac:dyDescent="0.3">
      <c r="A231" s="220">
        <v>37600</v>
      </c>
      <c r="B231" s="222" t="s">
        <v>370</v>
      </c>
      <c r="C231" s="244">
        <v>5.0006E-3</v>
      </c>
      <c r="D231" s="257">
        <v>6887097</v>
      </c>
      <c r="F231" s="253"/>
      <c r="H231" s="254"/>
    </row>
    <row r="232" spans="1:8" ht="14.4" x14ac:dyDescent="0.3">
      <c r="A232" s="220">
        <v>37601</v>
      </c>
      <c r="B232" s="222" t="s">
        <v>371</v>
      </c>
      <c r="C232" s="244">
        <v>5.7490000000000004E-4</v>
      </c>
      <c r="D232" s="257">
        <v>678427</v>
      </c>
      <c r="F232" s="253"/>
      <c r="H232" s="254"/>
    </row>
    <row r="233" spans="1:8" ht="14.4" x14ac:dyDescent="0.3">
      <c r="A233" s="220">
        <v>37605</v>
      </c>
      <c r="B233" s="222" t="s">
        <v>98</v>
      </c>
      <c r="C233" s="244">
        <v>6.5839999999999996E-4</v>
      </c>
      <c r="D233" s="257">
        <v>928799</v>
      </c>
      <c r="F233" s="253"/>
      <c r="H233" s="254"/>
    </row>
    <row r="234" spans="1:8" ht="14.4" x14ac:dyDescent="0.3">
      <c r="A234" s="249">
        <v>37610</v>
      </c>
      <c r="B234" s="250" t="s">
        <v>372</v>
      </c>
      <c r="C234" s="244">
        <v>1.5757E-3</v>
      </c>
      <c r="D234" s="257">
        <v>2081256</v>
      </c>
      <c r="F234" s="253"/>
      <c r="H234" s="254"/>
    </row>
    <row r="235" spans="1:8" ht="14.4" x14ac:dyDescent="0.3">
      <c r="A235" s="249">
        <v>37700</v>
      </c>
      <c r="B235" s="250" t="s">
        <v>373</v>
      </c>
      <c r="C235" s="244">
        <v>2.2826999999999999E-3</v>
      </c>
      <c r="D235" s="257">
        <v>3283739</v>
      </c>
      <c r="F235" s="253"/>
      <c r="H235" s="254"/>
    </row>
    <row r="236" spans="1:8" ht="14.4" x14ac:dyDescent="0.3">
      <c r="A236" s="249">
        <v>37705</v>
      </c>
      <c r="B236" s="250" t="s">
        <v>99</v>
      </c>
      <c r="C236" s="244">
        <v>5.888E-4</v>
      </c>
      <c r="D236" s="257">
        <v>1008927</v>
      </c>
      <c r="F236" s="253"/>
      <c r="H236" s="254"/>
    </row>
    <row r="237" spans="1:8" ht="14.4" x14ac:dyDescent="0.3">
      <c r="A237" s="249">
        <v>37800</v>
      </c>
      <c r="B237" s="250" t="s">
        <v>374</v>
      </c>
      <c r="C237" s="244">
        <v>6.3292000000000001E-3</v>
      </c>
      <c r="D237" s="257">
        <v>9720212</v>
      </c>
      <c r="F237" s="253"/>
      <c r="H237" s="254"/>
    </row>
    <row r="238" spans="1:8" ht="14.4" x14ac:dyDescent="0.3">
      <c r="A238" s="249">
        <v>37801</v>
      </c>
      <c r="B238" s="250" t="s">
        <v>375</v>
      </c>
      <c r="C238" s="244">
        <v>7.0500000000000006E-5</v>
      </c>
      <c r="D238" s="257">
        <v>64077</v>
      </c>
      <c r="F238" s="253"/>
      <c r="H238" s="254"/>
    </row>
    <row r="239" spans="1:8" ht="14.4" x14ac:dyDescent="0.3">
      <c r="A239" s="249">
        <v>37805</v>
      </c>
      <c r="B239" s="250" t="s">
        <v>100</v>
      </c>
      <c r="C239" s="244">
        <v>5.5920000000000004E-4</v>
      </c>
      <c r="D239" s="257">
        <v>874006</v>
      </c>
      <c r="F239" s="253"/>
      <c r="H239" s="254"/>
    </row>
    <row r="240" spans="1:8" ht="14.4" x14ac:dyDescent="0.3">
      <c r="A240" s="220">
        <v>37900</v>
      </c>
      <c r="B240" s="222" t="s">
        <v>376</v>
      </c>
      <c r="C240" s="244">
        <v>3.5620999999999999E-3</v>
      </c>
      <c r="D240" s="257">
        <v>5395484</v>
      </c>
      <c r="F240" s="253"/>
      <c r="H240" s="254"/>
    </row>
    <row r="241" spans="1:8" ht="14.4" x14ac:dyDescent="0.3">
      <c r="A241" s="220">
        <v>37901</v>
      </c>
      <c r="B241" s="222" t="s">
        <v>377</v>
      </c>
      <c r="C241" s="244">
        <v>1.394E-4</v>
      </c>
      <c r="D241" s="257">
        <v>198665</v>
      </c>
      <c r="F241" s="253"/>
      <c r="H241" s="254"/>
    </row>
    <row r="242" spans="1:8" ht="14.4" x14ac:dyDescent="0.3">
      <c r="A242" s="220">
        <v>37905</v>
      </c>
      <c r="B242" s="222" t="s">
        <v>101</v>
      </c>
      <c r="C242" s="244">
        <v>3.926E-4</v>
      </c>
      <c r="D242" s="257">
        <v>623148</v>
      </c>
      <c r="F242" s="253"/>
      <c r="H242" s="254"/>
    </row>
    <row r="243" spans="1:8" ht="14.4" x14ac:dyDescent="0.3">
      <c r="A243" s="220">
        <v>38000</v>
      </c>
      <c r="B243" s="222" t="s">
        <v>378</v>
      </c>
      <c r="C243" s="244">
        <v>5.8481999999999996E-3</v>
      </c>
      <c r="D243" s="257">
        <v>8100410</v>
      </c>
      <c r="F243" s="253"/>
      <c r="H243" s="254"/>
    </row>
    <row r="244" spans="1:8" ht="14.4" x14ac:dyDescent="0.3">
      <c r="A244" s="220">
        <v>38005</v>
      </c>
      <c r="B244" s="222" t="s">
        <v>102</v>
      </c>
      <c r="C244" s="244">
        <v>1.3960000000000001E-3</v>
      </c>
      <c r="D244" s="257">
        <v>1950395</v>
      </c>
      <c r="F244" s="253"/>
      <c r="H244" s="254"/>
    </row>
    <row r="245" spans="1:8" ht="14.4" x14ac:dyDescent="0.3">
      <c r="A245" s="220">
        <v>38100</v>
      </c>
      <c r="B245" s="222" t="s">
        <v>379</v>
      </c>
      <c r="C245" s="244">
        <v>2.7198000000000001E-3</v>
      </c>
      <c r="D245" s="257">
        <v>3854813</v>
      </c>
      <c r="F245" s="253"/>
      <c r="H245" s="254"/>
    </row>
    <row r="246" spans="1:8" ht="14.4" x14ac:dyDescent="0.3">
      <c r="A246" s="249">
        <v>38105</v>
      </c>
      <c r="B246" s="250" t="s">
        <v>103</v>
      </c>
      <c r="C246" s="244">
        <v>5.4560000000000003E-4</v>
      </c>
      <c r="D246" s="257">
        <v>773568</v>
      </c>
      <c r="F246" s="253"/>
      <c r="H246" s="254"/>
    </row>
    <row r="247" spans="1:8" ht="14.4" x14ac:dyDescent="0.3">
      <c r="A247" s="249">
        <v>38200</v>
      </c>
      <c r="B247" s="250" t="s">
        <v>380</v>
      </c>
      <c r="C247" s="244">
        <v>2.617E-3</v>
      </c>
      <c r="D247" s="257">
        <v>3822284</v>
      </c>
      <c r="F247" s="253"/>
      <c r="H247" s="254"/>
    </row>
    <row r="248" spans="1:8" ht="14.4" x14ac:dyDescent="0.3">
      <c r="A248" s="249">
        <v>38205</v>
      </c>
      <c r="B248" s="250" t="s">
        <v>104</v>
      </c>
      <c r="C248" s="244">
        <v>3.8010000000000002E-4</v>
      </c>
      <c r="D248" s="257">
        <v>596337</v>
      </c>
      <c r="F248" s="253"/>
      <c r="H248" s="254"/>
    </row>
    <row r="249" spans="1:8" ht="14.4" x14ac:dyDescent="0.3">
      <c r="A249" s="249">
        <v>38210</v>
      </c>
      <c r="B249" s="250" t="s">
        <v>381</v>
      </c>
      <c r="C249" s="244">
        <v>1.0235000000000001E-3</v>
      </c>
      <c r="D249" s="257">
        <v>1447573</v>
      </c>
      <c r="F249" s="253"/>
      <c r="H249" s="254"/>
    </row>
    <row r="250" spans="1:8" ht="14.4" x14ac:dyDescent="0.3">
      <c r="A250" s="249">
        <v>38300</v>
      </c>
      <c r="B250" s="250" t="s">
        <v>382</v>
      </c>
      <c r="C250" s="244">
        <v>1.9826000000000002E-3</v>
      </c>
      <c r="D250" s="257">
        <v>2882962</v>
      </c>
      <c r="F250" s="253"/>
      <c r="H250" s="254"/>
    </row>
    <row r="251" spans="1:8" ht="14.4" x14ac:dyDescent="0.3">
      <c r="A251" s="249">
        <v>38400</v>
      </c>
      <c r="B251" s="250" t="s">
        <v>383</v>
      </c>
      <c r="C251" s="244">
        <v>2.6101000000000002E-3</v>
      </c>
      <c r="D251" s="257">
        <v>3825178</v>
      </c>
      <c r="F251" s="253"/>
      <c r="H251" s="254"/>
    </row>
    <row r="252" spans="1:8" ht="14.4" x14ac:dyDescent="0.3">
      <c r="A252" s="220">
        <v>38402</v>
      </c>
      <c r="B252" s="222" t="s">
        <v>384</v>
      </c>
      <c r="C252" s="244">
        <v>1.9570000000000001E-4</v>
      </c>
      <c r="D252" s="257">
        <v>258822</v>
      </c>
      <c r="F252" s="253"/>
      <c r="H252" s="254"/>
    </row>
    <row r="253" spans="1:8" ht="14.4" x14ac:dyDescent="0.3">
      <c r="A253" s="220">
        <v>38405</v>
      </c>
      <c r="B253" s="222" t="s">
        <v>105</v>
      </c>
      <c r="C253" s="244">
        <v>6.1620000000000002E-4</v>
      </c>
      <c r="D253" s="257">
        <v>884652</v>
      </c>
      <c r="F253" s="253"/>
      <c r="H253" s="254"/>
    </row>
    <row r="254" spans="1:8" ht="14.4" x14ac:dyDescent="0.3">
      <c r="A254" s="220">
        <v>38500</v>
      </c>
      <c r="B254" s="222" t="s">
        <v>385</v>
      </c>
      <c r="C254" s="244">
        <v>1.9729000000000001E-3</v>
      </c>
      <c r="D254" s="257">
        <v>2942798</v>
      </c>
      <c r="F254" s="253"/>
      <c r="H254" s="254"/>
    </row>
    <row r="255" spans="1:8" ht="14.4" x14ac:dyDescent="0.3">
      <c r="A255" s="220">
        <v>38600</v>
      </c>
      <c r="B255" s="222" t="s">
        <v>386</v>
      </c>
      <c r="C255" s="244">
        <v>2.4886999999999999E-3</v>
      </c>
      <c r="D255" s="257">
        <v>3600444</v>
      </c>
      <c r="F255" s="253"/>
      <c r="H255" s="254"/>
    </row>
    <row r="256" spans="1:8" ht="14.4" x14ac:dyDescent="0.3">
      <c r="A256" s="220">
        <v>38602</v>
      </c>
      <c r="B256" s="222" t="s">
        <v>388</v>
      </c>
      <c r="C256" s="244">
        <v>1.9900000000000001E-4</v>
      </c>
      <c r="D256" s="257">
        <v>222764</v>
      </c>
      <c r="F256" s="253"/>
      <c r="H256" s="254"/>
    </row>
    <row r="257" spans="1:8" ht="14.4" x14ac:dyDescent="0.3">
      <c r="A257" s="220">
        <v>38605</v>
      </c>
      <c r="B257" s="222" t="s">
        <v>106</v>
      </c>
      <c r="C257" s="244">
        <v>6.0269999999999996E-4</v>
      </c>
      <c r="D257" s="257">
        <v>945800</v>
      </c>
      <c r="F257" s="253"/>
      <c r="H257" s="254"/>
    </row>
    <row r="258" spans="1:8" ht="14.4" x14ac:dyDescent="0.3">
      <c r="A258" s="249">
        <v>38610</v>
      </c>
      <c r="B258" s="250" t="s">
        <v>389</v>
      </c>
      <c r="C258" s="244">
        <v>6.6540000000000002E-4</v>
      </c>
      <c r="D258" s="257">
        <v>894947</v>
      </c>
      <c r="F258" s="253"/>
      <c r="H258" s="254"/>
    </row>
    <row r="259" spans="1:8" ht="14.4" x14ac:dyDescent="0.3">
      <c r="A259" s="249">
        <v>38620</v>
      </c>
      <c r="B259" s="250" t="s">
        <v>390</v>
      </c>
      <c r="C259" s="244">
        <v>4.5209999999999998E-4</v>
      </c>
      <c r="D259" s="257">
        <v>639939</v>
      </c>
      <c r="F259" s="253"/>
      <c r="H259" s="254"/>
    </row>
    <row r="260" spans="1:8" ht="14.4" x14ac:dyDescent="0.3">
      <c r="A260" s="249">
        <v>38700</v>
      </c>
      <c r="B260" s="250" t="s">
        <v>391</v>
      </c>
      <c r="C260" s="244">
        <v>7.9989999999999998E-4</v>
      </c>
      <c r="D260" s="257">
        <v>1072731</v>
      </c>
      <c r="F260" s="253"/>
      <c r="H260" s="254"/>
    </row>
    <row r="261" spans="1:8" ht="14.4" x14ac:dyDescent="0.3">
      <c r="A261" s="249">
        <v>38701</v>
      </c>
      <c r="B261" s="250" t="s">
        <v>459</v>
      </c>
      <c r="C261" s="244">
        <v>6.8399999999999996E-5</v>
      </c>
      <c r="D261" s="257">
        <v>82594</v>
      </c>
      <c r="F261" s="253"/>
      <c r="H261" s="254"/>
    </row>
    <row r="262" spans="1:8" ht="14.4" x14ac:dyDescent="0.3">
      <c r="A262" s="249">
        <v>38800</v>
      </c>
      <c r="B262" s="250" t="s">
        <v>392</v>
      </c>
      <c r="C262" s="244">
        <v>1.3343000000000001E-3</v>
      </c>
      <c r="D262" s="257">
        <v>1881867</v>
      </c>
      <c r="F262" s="253"/>
      <c r="H262" s="254"/>
    </row>
    <row r="263" spans="1:8" ht="14.4" x14ac:dyDescent="0.3">
      <c r="A263" s="249">
        <v>38801</v>
      </c>
      <c r="B263" s="250" t="s">
        <v>393</v>
      </c>
      <c r="C263" s="244">
        <v>1.214E-4</v>
      </c>
      <c r="D263" s="257">
        <v>167901</v>
      </c>
      <c r="F263" s="253"/>
      <c r="H263" s="254"/>
    </row>
    <row r="264" spans="1:8" ht="14.4" x14ac:dyDescent="0.3">
      <c r="A264" s="220">
        <v>38900</v>
      </c>
      <c r="B264" s="222" t="s">
        <v>394</v>
      </c>
      <c r="C264" s="244">
        <v>2.7030000000000001E-4</v>
      </c>
      <c r="D264" s="257">
        <v>405392</v>
      </c>
      <c r="F264" s="253"/>
      <c r="H264" s="254"/>
    </row>
    <row r="265" spans="1:8" ht="14.4" x14ac:dyDescent="0.3">
      <c r="A265" s="220">
        <v>39000</v>
      </c>
      <c r="B265" s="222" t="s">
        <v>395</v>
      </c>
      <c r="C265" s="244">
        <v>1.2530899999999999E-2</v>
      </c>
      <c r="D265" s="257">
        <v>18435904</v>
      </c>
      <c r="F265" s="253"/>
      <c r="H265" s="254"/>
    </row>
    <row r="266" spans="1:8" ht="14.4" x14ac:dyDescent="0.3">
      <c r="A266" s="220">
        <v>39100</v>
      </c>
      <c r="B266" s="222" t="s">
        <v>396</v>
      </c>
      <c r="C266" s="244">
        <v>1.5068E-3</v>
      </c>
      <c r="D266" s="257">
        <v>2492582</v>
      </c>
      <c r="F266" s="253"/>
      <c r="H266" s="254"/>
    </row>
    <row r="267" spans="1:8" ht="14.4" x14ac:dyDescent="0.3">
      <c r="A267" s="220">
        <v>39101</v>
      </c>
      <c r="B267" s="222" t="s">
        <v>397</v>
      </c>
      <c r="C267" s="244">
        <v>2.7300000000000002E-4</v>
      </c>
      <c r="D267" s="257">
        <v>370792</v>
      </c>
      <c r="F267" s="253"/>
      <c r="H267" s="254"/>
    </row>
    <row r="268" spans="1:8" ht="14.4" x14ac:dyDescent="0.3">
      <c r="A268" s="220">
        <v>39105</v>
      </c>
      <c r="B268" s="222" t="s">
        <v>107</v>
      </c>
      <c r="C268" s="244">
        <v>6.4440000000000005E-4</v>
      </c>
      <c r="D268" s="257">
        <v>979058</v>
      </c>
      <c r="F268" s="253"/>
      <c r="H268" s="254"/>
    </row>
    <row r="269" spans="1:8" ht="14.4" x14ac:dyDescent="0.3">
      <c r="A269" s="220">
        <v>39200</v>
      </c>
      <c r="B269" s="222" t="s">
        <v>486</v>
      </c>
      <c r="C269" s="244">
        <v>5.90322E-2</v>
      </c>
      <c r="D269" s="257">
        <v>84172938</v>
      </c>
      <c r="F269" s="253"/>
      <c r="H269" s="254"/>
    </row>
    <row r="270" spans="1:8" ht="14.4" x14ac:dyDescent="0.3">
      <c r="A270" s="249">
        <v>39201</v>
      </c>
      <c r="B270" s="250" t="s">
        <v>398</v>
      </c>
      <c r="C270" s="244">
        <v>2.5159999999999999E-4</v>
      </c>
      <c r="D270" s="257">
        <v>302935</v>
      </c>
      <c r="F270" s="253"/>
      <c r="H270" s="254"/>
    </row>
    <row r="271" spans="1:8" ht="14.4" x14ac:dyDescent="0.3">
      <c r="A271" s="249">
        <v>39204</v>
      </c>
      <c r="B271" s="250" t="s">
        <v>399</v>
      </c>
      <c r="C271" s="244">
        <v>1.5660000000000001E-4</v>
      </c>
      <c r="D271" s="257">
        <v>224228</v>
      </c>
      <c r="F271" s="253"/>
      <c r="H271" s="254"/>
    </row>
    <row r="272" spans="1:8" ht="14.4" x14ac:dyDescent="0.3">
      <c r="A272" s="249">
        <v>39205</v>
      </c>
      <c r="B272" s="250" t="s">
        <v>108</v>
      </c>
      <c r="C272" s="244">
        <v>5.0972999999999999E-3</v>
      </c>
      <c r="D272" s="257">
        <v>7815611</v>
      </c>
      <c r="F272" s="253"/>
      <c r="H272" s="254"/>
    </row>
    <row r="273" spans="1:8" ht="14.4" x14ac:dyDescent="0.3">
      <c r="A273" s="249">
        <v>39208</v>
      </c>
      <c r="B273" s="250" t="s">
        <v>487</v>
      </c>
      <c r="C273" s="244">
        <v>3.5770000000000002E-4</v>
      </c>
      <c r="D273" s="257">
        <v>465726</v>
      </c>
      <c r="F273" s="253"/>
      <c r="H273" s="254"/>
    </row>
    <row r="274" spans="1:8" ht="14.4" x14ac:dyDescent="0.3">
      <c r="A274" s="249">
        <v>39300</v>
      </c>
      <c r="B274" s="250" t="s">
        <v>401</v>
      </c>
      <c r="C274" s="244">
        <v>6.4119999999999997E-4</v>
      </c>
      <c r="D274" s="257">
        <v>1065569</v>
      </c>
      <c r="F274" s="253"/>
      <c r="H274" s="254"/>
    </row>
    <row r="275" spans="1:8" ht="14.4" x14ac:dyDescent="0.3">
      <c r="A275" s="249">
        <v>39301</v>
      </c>
      <c r="B275" s="250" t="s">
        <v>402</v>
      </c>
      <c r="C275" s="244">
        <v>3.8999999999999999E-5</v>
      </c>
      <c r="D275" s="257">
        <v>67363</v>
      </c>
      <c r="F275" s="253"/>
      <c r="H275" s="254"/>
    </row>
    <row r="276" spans="1:8" ht="14.4" x14ac:dyDescent="0.3">
      <c r="A276" s="249">
        <v>39400</v>
      </c>
      <c r="B276" s="250" t="s">
        <v>403</v>
      </c>
      <c r="C276" s="244">
        <v>3.7080000000000001E-4</v>
      </c>
      <c r="D276" s="257">
        <v>615405</v>
      </c>
      <c r="F276" s="253"/>
      <c r="H276" s="254"/>
    </row>
    <row r="277" spans="1:8" ht="14.4" x14ac:dyDescent="0.3">
      <c r="A277" s="249">
        <v>39401</v>
      </c>
      <c r="B277" s="250" t="s">
        <v>404</v>
      </c>
      <c r="C277" s="244">
        <v>3.9869999999999999E-4</v>
      </c>
      <c r="D277" s="257">
        <v>584914</v>
      </c>
      <c r="F277" s="253"/>
      <c r="H277" s="254"/>
    </row>
    <row r="278" spans="1:8" ht="14.4" x14ac:dyDescent="0.3">
      <c r="A278" s="249">
        <v>39500</v>
      </c>
      <c r="B278" s="250" t="s">
        <v>405</v>
      </c>
      <c r="C278" s="244">
        <v>1.9551E-3</v>
      </c>
      <c r="D278" s="257">
        <v>2607415</v>
      </c>
      <c r="F278" s="253"/>
      <c r="H278" s="254"/>
    </row>
    <row r="279" spans="1:8" ht="14.4" x14ac:dyDescent="0.3">
      <c r="A279" s="249">
        <v>39501</v>
      </c>
      <c r="B279" s="250" t="s">
        <v>460</v>
      </c>
      <c r="C279" s="244">
        <v>4.4199999999999997E-5</v>
      </c>
      <c r="D279" s="257">
        <v>60615</v>
      </c>
      <c r="F279" s="253"/>
      <c r="H279" s="254"/>
    </row>
    <row r="280" spans="1:8" ht="14.4" x14ac:dyDescent="0.3">
      <c r="A280" s="249">
        <v>39600</v>
      </c>
      <c r="B280" s="250" t="s">
        <v>406</v>
      </c>
      <c r="C280" s="244">
        <v>5.0377E-3</v>
      </c>
      <c r="D280" s="257">
        <v>7535275</v>
      </c>
      <c r="F280" s="253"/>
      <c r="H280" s="254"/>
    </row>
    <row r="281" spans="1:8" ht="14.4" x14ac:dyDescent="0.3">
      <c r="A281" s="249">
        <v>39605</v>
      </c>
      <c r="B281" s="250" t="s">
        <v>109</v>
      </c>
      <c r="C281" s="244">
        <v>7.2360000000000002E-4</v>
      </c>
      <c r="D281" s="257">
        <v>1082172</v>
      </c>
      <c r="F281" s="253"/>
      <c r="H281" s="254"/>
    </row>
    <row r="282" spans="1:8" ht="14.4" x14ac:dyDescent="0.3">
      <c r="A282" s="220">
        <v>39700</v>
      </c>
      <c r="B282" s="222" t="s">
        <v>407</v>
      </c>
      <c r="C282" s="244">
        <v>3.0677E-3</v>
      </c>
      <c r="D282" s="257">
        <v>4207685</v>
      </c>
      <c r="F282" s="253"/>
      <c r="H282" s="254"/>
    </row>
    <row r="283" spans="1:8" ht="14.4" x14ac:dyDescent="0.3">
      <c r="A283" s="220">
        <v>39703</v>
      </c>
      <c r="B283" s="222" t="s">
        <v>408</v>
      </c>
      <c r="C283" s="244">
        <v>2.433E-4</v>
      </c>
      <c r="D283" s="257">
        <v>301097</v>
      </c>
      <c r="F283" s="253"/>
      <c r="H283" s="254"/>
    </row>
    <row r="284" spans="1:8" ht="14.4" x14ac:dyDescent="0.3">
      <c r="A284" s="220">
        <v>39705</v>
      </c>
      <c r="B284" s="222" t="s">
        <v>110</v>
      </c>
      <c r="C284" s="244">
        <v>8.3140000000000004E-4</v>
      </c>
      <c r="D284" s="257">
        <v>1105311</v>
      </c>
      <c r="F284" s="253"/>
      <c r="H284" s="254"/>
    </row>
    <row r="285" spans="1:8" ht="14.4" x14ac:dyDescent="0.3">
      <c r="A285" s="220">
        <v>39800</v>
      </c>
      <c r="B285" s="222" t="s">
        <v>409</v>
      </c>
      <c r="C285" s="244">
        <v>3.1489999999999999E-3</v>
      </c>
      <c r="D285" s="257">
        <v>4772771</v>
      </c>
      <c r="F285" s="253"/>
      <c r="H285" s="254"/>
    </row>
    <row r="286" spans="1:8" ht="14.4" x14ac:dyDescent="0.3">
      <c r="A286" s="220">
        <v>39805</v>
      </c>
      <c r="B286" s="222" t="s">
        <v>111</v>
      </c>
      <c r="C286" s="244">
        <v>4.2049999999999998E-4</v>
      </c>
      <c r="D286" s="257">
        <v>604375</v>
      </c>
      <c r="F286" s="253"/>
      <c r="H286" s="254"/>
    </row>
    <row r="287" spans="1:8" ht="14.4" x14ac:dyDescent="0.3">
      <c r="A287" s="220">
        <v>39900</v>
      </c>
      <c r="B287" s="222" t="s">
        <v>410</v>
      </c>
      <c r="C287" s="244">
        <v>1.8818000000000001E-3</v>
      </c>
      <c r="D287" s="257">
        <v>2676762</v>
      </c>
      <c r="F287" s="253"/>
      <c r="H287" s="254"/>
    </row>
    <row r="288" spans="1:8" ht="14.4" x14ac:dyDescent="0.3">
      <c r="A288" s="249">
        <v>40000</v>
      </c>
      <c r="B288" s="250" t="s">
        <v>411</v>
      </c>
      <c r="C288" s="244">
        <v>3.6833999999999999E-3</v>
      </c>
      <c r="D288" s="257">
        <v>7026147</v>
      </c>
      <c r="F288" s="253"/>
      <c r="H288" s="254"/>
    </row>
    <row r="289" spans="1:8" ht="14.4" x14ac:dyDescent="0.3">
      <c r="A289" s="251">
        <v>51000</v>
      </c>
      <c r="B289" s="250" t="s">
        <v>461</v>
      </c>
      <c r="C289" s="244">
        <v>2.6372699999999999E-2</v>
      </c>
      <c r="D289" s="257">
        <v>43760074</v>
      </c>
      <c r="F289" s="253">
        <f>F292-F291-F290</f>
        <v>43760074.329999998</v>
      </c>
      <c r="G289" s="2" t="s">
        <v>844</v>
      </c>
      <c r="H289" s="254"/>
    </row>
    <row r="290" spans="1:8" ht="14.4" x14ac:dyDescent="0.3">
      <c r="A290" s="251">
        <v>51000.2</v>
      </c>
      <c r="B290" s="250" t="s">
        <v>462</v>
      </c>
      <c r="C290" s="244">
        <v>4.5899999999999998E-5</v>
      </c>
      <c r="D290" s="257">
        <v>94612</v>
      </c>
      <c r="F290" s="253">
        <v>94612</v>
      </c>
      <c r="G290" s="2" t="s">
        <v>845</v>
      </c>
      <c r="H290" s="254"/>
    </row>
    <row r="291" spans="1:8" ht="14.4" x14ac:dyDescent="0.3">
      <c r="A291" s="251">
        <v>51000.3</v>
      </c>
      <c r="B291" s="250" t="s">
        <v>800</v>
      </c>
      <c r="C291" s="244">
        <v>7.9810000000000005E-4</v>
      </c>
      <c r="D291" s="257">
        <v>1366796</v>
      </c>
      <c r="F291" s="253">
        <v>1366796</v>
      </c>
      <c r="G291" s="2" t="s">
        <v>846</v>
      </c>
      <c r="H291" s="254"/>
    </row>
    <row r="292" spans="1:8" ht="14.4" x14ac:dyDescent="0.3">
      <c r="A292" s="251">
        <v>60000</v>
      </c>
      <c r="B292" s="250" t="s">
        <v>463</v>
      </c>
      <c r="C292" s="244">
        <v>1.0399999999999999E-4</v>
      </c>
      <c r="D292" s="257">
        <v>258490</v>
      </c>
      <c r="F292" s="253">
        <v>45221482.329999998</v>
      </c>
      <c r="G292" s="2" t="s">
        <v>843</v>
      </c>
      <c r="H292" s="254"/>
    </row>
    <row r="293" spans="1:8" ht="14.4" x14ac:dyDescent="0.3">
      <c r="A293" s="251">
        <v>90901</v>
      </c>
      <c r="B293" s="250" t="s">
        <v>412</v>
      </c>
      <c r="C293" s="244">
        <v>7.8930000000000005E-4</v>
      </c>
      <c r="D293" s="257">
        <v>1288707</v>
      </c>
      <c r="F293" s="253"/>
      <c r="H293" s="254"/>
    </row>
    <row r="294" spans="1:8" ht="14.4" x14ac:dyDescent="0.3">
      <c r="A294" s="220">
        <v>91041</v>
      </c>
      <c r="B294" s="222" t="s">
        <v>413</v>
      </c>
      <c r="C294" s="244">
        <v>1.9890000000000001E-4</v>
      </c>
      <c r="D294" s="257">
        <v>272556</v>
      </c>
      <c r="F294" s="253"/>
      <c r="H294" s="254"/>
    </row>
    <row r="295" spans="1:8" ht="14.4" x14ac:dyDescent="0.3">
      <c r="A295" s="220">
        <v>91111</v>
      </c>
      <c r="B295" s="222" t="s">
        <v>414</v>
      </c>
      <c r="C295" s="244">
        <v>1.083E-4</v>
      </c>
      <c r="D295" s="257">
        <v>140866</v>
      </c>
      <c r="F295" s="253"/>
      <c r="H295" s="254"/>
    </row>
    <row r="296" spans="1:8" ht="14.4" x14ac:dyDescent="0.3">
      <c r="A296" s="220">
        <v>91151</v>
      </c>
      <c r="B296" s="222" t="s">
        <v>415</v>
      </c>
      <c r="C296" s="244">
        <v>2.767E-4</v>
      </c>
      <c r="D296" s="257">
        <v>420138</v>
      </c>
      <c r="F296" s="253"/>
      <c r="H296" s="254"/>
    </row>
    <row r="297" spans="1:8" ht="14.4" x14ac:dyDescent="0.3">
      <c r="A297" s="220">
        <v>98101</v>
      </c>
      <c r="B297" s="222" t="s">
        <v>416</v>
      </c>
      <c r="C297" s="244">
        <v>1.0605E-3</v>
      </c>
      <c r="D297" s="257">
        <v>1679705</v>
      </c>
      <c r="F297" s="253"/>
      <c r="H297" s="254"/>
    </row>
    <row r="298" spans="1:8" ht="14.4" x14ac:dyDescent="0.3">
      <c r="A298" s="220">
        <v>98103</v>
      </c>
      <c r="B298" s="222" t="s">
        <v>488</v>
      </c>
      <c r="C298" s="244">
        <v>1.73E-4</v>
      </c>
      <c r="D298" s="257">
        <v>283676</v>
      </c>
      <c r="F298" s="253"/>
      <c r="H298" s="254"/>
    </row>
    <row r="299" spans="1:8" ht="14.4" x14ac:dyDescent="0.3">
      <c r="A299" s="220">
        <v>98111</v>
      </c>
      <c r="B299" s="222" t="s">
        <v>417</v>
      </c>
      <c r="C299" s="244">
        <v>4.3140000000000002E-4</v>
      </c>
      <c r="D299" s="257">
        <v>587989</v>
      </c>
      <c r="F299" s="253"/>
      <c r="H299" s="254"/>
    </row>
    <row r="300" spans="1:8" ht="14.4" x14ac:dyDescent="0.3">
      <c r="A300" s="249">
        <v>98131</v>
      </c>
      <c r="B300" s="250" t="s">
        <v>418</v>
      </c>
      <c r="C300" s="244">
        <v>1.075E-4</v>
      </c>
      <c r="D300" s="257">
        <v>184739</v>
      </c>
      <c r="F300" s="253"/>
      <c r="H300" s="254"/>
    </row>
    <row r="301" spans="1:8" ht="14.4" x14ac:dyDescent="0.3">
      <c r="A301" s="249">
        <v>99401</v>
      </c>
      <c r="B301" s="250" t="s">
        <v>419</v>
      </c>
      <c r="C301" s="244">
        <v>2.7040000000000001E-4</v>
      </c>
      <c r="D301" s="257">
        <v>448775</v>
      </c>
      <c r="F301" s="253"/>
      <c r="H301" s="254"/>
    </row>
    <row r="302" spans="1:8" ht="14.4" x14ac:dyDescent="0.3">
      <c r="A302" s="249">
        <v>99521</v>
      </c>
      <c r="B302" s="250" t="s">
        <v>420</v>
      </c>
      <c r="C302" s="244">
        <v>2.5149999999999999E-4</v>
      </c>
      <c r="D302" s="257">
        <v>321723</v>
      </c>
      <c r="F302" s="253"/>
      <c r="H302" s="254"/>
    </row>
    <row r="303" spans="1:8" ht="14.4" x14ac:dyDescent="0.3">
      <c r="A303" s="249">
        <v>99831</v>
      </c>
      <c r="B303" s="250" t="s">
        <v>421</v>
      </c>
      <c r="C303" s="244">
        <v>1.5299999999999999E-5</v>
      </c>
      <c r="D303" s="257">
        <v>25156</v>
      </c>
      <c r="F303" s="253"/>
      <c r="H303" s="254"/>
    </row>
    <row r="304" spans="1:8" ht="14.4" x14ac:dyDescent="0.3">
      <c r="A304" s="242"/>
      <c r="B304" s="243"/>
      <c r="C304" s="244"/>
      <c r="D304" s="257"/>
      <c r="F304" s="253"/>
      <c r="H304" s="254"/>
    </row>
    <row r="305" spans="1:8" ht="14.4" x14ac:dyDescent="0.3">
      <c r="A305" s="242"/>
      <c r="B305" s="243"/>
      <c r="C305" s="244"/>
      <c r="D305" s="257"/>
      <c r="F305" s="253"/>
      <c r="H305" s="254"/>
    </row>
    <row r="306" spans="1:8" ht="14.4" x14ac:dyDescent="0.3">
      <c r="A306" s="242"/>
      <c r="B306" s="243"/>
      <c r="C306" s="244"/>
      <c r="D306" s="257"/>
      <c r="E306" s="191"/>
      <c r="F306" s="253"/>
      <c r="H306" s="254"/>
    </row>
    <row r="307" spans="1:8" ht="14.4" x14ac:dyDescent="0.3">
      <c r="C307" s="7">
        <f>SUM(C3:C306)</f>
        <v>1</v>
      </c>
      <c r="D307" s="9">
        <f>SUM(D3:D306)</f>
        <v>1492885840</v>
      </c>
      <c r="E307" s="6"/>
      <c r="F307" s="253"/>
      <c r="H307" s="254"/>
    </row>
    <row r="308" spans="1:8" ht="14.4" x14ac:dyDescent="0.3">
      <c r="C308" s="218" t="s">
        <v>813</v>
      </c>
      <c r="D308" s="258">
        <v>1492885844</v>
      </c>
      <c r="F308" s="253"/>
      <c r="H308" s="254"/>
    </row>
    <row r="309" spans="1:8" ht="14.4" x14ac:dyDescent="0.3">
      <c r="D309" s="9">
        <f>D307-D308</f>
        <v>-4</v>
      </c>
      <c r="E309" t="s">
        <v>477</v>
      </c>
      <c r="F309" s="253"/>
      <c r="H309" s="254"/>
    </row>
    <row r="310" spans="1:8" x14ac:dyDescent="0.25">
      <c r="H310" s="254"/>
    </row>
    <row r="311" spans="1:8" x14ac:dyDescent="0.25">
      <c r="H311" s="254"/>
    </row>
    <row r="312" spans="1:8" x14ac:dyDescent="0.25">
      <c r="H312" s="254"/>
    </row>
    <row r="313" spans="1:8" x14ac:dyDescent="0.25">
      <c r="H313" s="254"/>
    </row>
    <row r="314" spans="1:8" x14ac:dyDescent="0.25">
      <c r="H314" s="254"/>
    </row>
    <row r="315" spans="1:8" x14ac:dyDescent="0.25">
      <c r="H315" s="254"/>
    </row>
    <row r="316" spans="1:8" x14ac:dyDescent="0.25">
      <c r="H316" s="254"/>
    </row>
    <row r="317" spans="1:8" x14ac:dyDescent="0.25">
      <c r="H317" s="254"/>
    </row>
    <row r="318" spans="1:8" x14ac:dyDescent="0.25">
      <c r="A318" s="2"/>
      <c r="H318" s="254"/>
    </row>
    <row r="320" spans="1:8" ht="15.6" x14ac:dyDescent="0.3">
      <c r="A320" s="179"/>
      <c r="B320" s="175"/>
      <c r="C320" s="176"/>
      <c r="D320" s="259"/>
    </row>
    <row r="321" spans="4:4" x14ac:dyDescent="0.25">
      <c r="D321" s="259"/>
    </row>
  </sheetData>
  <conditionalFormatting sqref="A306">
    <cfRule type="duplicateValues" dxfId="27" priority="60"/>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16"/>
  <sheetViews>
    <sheetView workbookViewId="0">
      <pane xSplit="2" ySplit="3" topLeftCell="C4" activePane="bottomRight" state="frozen"/>
      <selection activeCell="A4" sqref="A4"/>
      <selection pane="topRight" activeCell="A4" sqref="A4"/>
      <selection pane="bottomLeft" activeCell="A4" sqref="A4"/>
      <selection pane="bottomRight" activeCell="M4" sqref="M4:M311"/>
    </sheetView>
  </sheetViews>
  <sheetFormatPr defaultRowHeight="13.2" x14ac:dyDescent="0.25"/>
  <cols>
    <col min="1" max="1" width="15.33203125" customWidth="1"/>
    <col min="2" max="2" width="55.5546875" bestFit="1" customWidth="1"/>
    <col min="3" max="4" width="18.33203125" customWidth="1"/>
    <col min="5" max="5" width="20" customWidth="1"/>
    <col min="6" max="6" width="17.33203125" customWidth="1"/>
    <col min="7" max="7" width="19.44140625" customWidth="1"/>
    <col min="8" max="8" width="18.33203125" customWidth="1"/>
    <col min="9" max="9" width="20" customWidth="1"/>
    <col min="10" max="10" width="17.33203125" customWidth="1"/>
    <col min="11" max="11" width="19.44140625" customWidth="1"/>
    <col min="12" max="12" width="15" bestFit="1" customWidth="1"/>
    <col min="13" max="13" width="22.44140625" customWidth="1"/>
    <col min="14" max="14" width="15" bestFit="1" customWidth="1"/>
    <col min="15" max="15" width="14.33203125" customWidth="1"/>
    <col min="24" max="24" width="15" bestFit="1" customWidth="1"/>
  </cols>
  <sheetData>
    <row r="1" spans="1:24" x14ac:dyDescent="0.25">
      <c r="A1" s="5">
        <v>1</v>
      </c>
      <c r="B1" s="5">
        <v>2</v>
      </c>
      <c r="C1" s="5">
        <v>3</v>
      </c>
      <c r="D1" s="5">
        <v>4</v>
      </c>
      <c r="E1" s="5">
        <v>5</v>
      </c>
      <c r="F1" s="5">
        <v>6</v>
      </c>
      <c r="G1" s="5">
        <v>7</v>
      </c>
      <c r="H1" s="5">
        <v>8</v>
      </c>
      <c r="I1" s="5">
        <v>9</v>
      </c>
      <c r="J1" s="5">
        <v>10</v>
      </c>
      <c r="K1" s="5">
        <v>11</v>
      </c>
      <c r="L1" s="5">
        <v>12</v>
      </c>
      <c r="M1" s="5">
        <v>13</v>
      </c>
      <c r="N1" s="5">
        <v>14</v>
      </c>
    </row>
    <row r="2" spans="1:24" ht="14.4" x14ac:dyDescent="0.3">
      <c r="D2" s="130" t="s">
        <v>129</v>
      </c>
      <c r="E2" s="131"/>
      <c r="F2" s="131"/>
      <c r="G2" s="132"/>
      <c r="H2" s="131" t="s">
        <v>113</v>
      </c>
      <c r="I2" s="131"/>
      <c r="J2" s="131"/>
      <c r="K2" s="132"/>
      <c r="L2" s="130" t="s">
        <v>114</v>
      </c>
      <c r="M2" s="131"/>
      <c r="N2" s="132"/>
    </row>
    <row r="3" spans="1:24" ht="115.2" x14ac:dyDescent="0.3">
      <c r="A3" s="49" t="s">
        <v>163</v>
      </c>
      <c r="B3" s="49" t="s">
        <v>164</v>
      </c>
      <c r="C3" s="49" t="s">
        <v>237</v>
      </c>
      <c r="D3" s="49" t="s">
        <v>116</v>
      </c>
      <c r="E3" s="49" t="s">
        <v>117</v>
      </c>
      <c r="F3" s="49" t="s">
        <v>130</v>
      </c>
      <c r="G3" s="49" t="s">
        <v>115</v>
      </c>
      <c r="H3" s="49" t="s">
        <v>116</v>
      </c>
      <c r="I3" s="49" t="s">
        <v>117</v>
      </c>
      <c r="J3" s="49" t="s">
        <v>130</v>
      </c>
      <c r="K3" s="49" t="s">
        <v>115</v>
      </c>
      <c r="L3" s="49" t="s">
        <v>118</v>
      </c>
      <c r="M3" s="49" t="s">
        <v>119</v>
      </c>
      <c r="N3" s="49" t="s">
        <v>120</v>
      </c>
      <c r="O3" s="49" t="s">
        <v>818</v>
      </c>
      <c r="X3" s="163"/>
    </row>
    <row r="4" spans="1:24" ht="13.8" x14ac:dyDescent="0.25">
      <c r="A4" s="219">
        <v>10200</v>
      </c>
      <c r="B4" s="221" t="s">
        <v>245</v>
      </c>
      <c r="C4" s="224">
        <v>41721863</v>
      </c>
      <c r="D4" s="224">
        <v>340058</v>
      </c>
      <c r="E4" s="224">
        <v>178785</v>
      </c>
      <c r="F4" s="224">
        <v>10048328</v>
      </c>
      <c r="G4" s="224">
        <v>5104977</v>
      </c>
      <c r="H4" s="224"/>
      <c r="J4" s="224">
        <v>5439679</v>
      </c>
      <c r="K4" s="224">
        <v>344337</v>
      </c>
      <c r="L4" s="224">
        <v>1160377</v>
      </c>
      <c r="M4" s="224">
        <v>1906422</v>
      </c>
      <c r="N4" s="224">
        <f>L4+M4</f>
        <v>3066799</v>
      </c>
      <c r="O4" s="241">
        <f>SUM(H4:K4)</f>
        <v>5784016</v>
      </c>
    </row>
    <row r="5" spans="1:24" ht="13.8" x14ac:dyDescent="0.25">
      <c r="A5" s="219">
        <v>10400</v>
      </c>
      <c r="B5" s="221" t="s">
        <v>246</v>
      </c>
      <c r="C5" s="224">
        <v>104581278</v>
      </c>
      <c r="D5" s="224">
        <v>852398</v>
      </c>
      <c r="E5" s="224">
        <v>448148</v>
      </c>
      <c r="F5" s="224">
        <v>25187442</v>
      </c>
      <c r="G5" s="224">
        <v>5553107</v>
      </c>
      <c r="H5" s="224"/>
      <c r="J5" s="224">
        <v>13635263</v>
      </c>
      <c r="K5" s="224">
        <v>733586</v>
      </c>
      <c r="L5" s="224">
        <v>2908638</v>
      </c>
      <c r="M5" s="224">
        <v>2026944</v>
      </c>
      <c r="N5" s="224">
        <f t="shared" ref="N5:N68" si="0">L5+M5</f>
        <v>4935582</v>
      </c>
      <c r="O5" s="241">
        <f t="shared" ref="O5:O68" si="1">SUM(H5:K5)</f>
        <v>14368849</v>
      </c>
    </row>
    <row r="6" spans="1:24" ht="13.8" x14ac:dyDescent="0.25">
      <c r="A6" s="219">
        <v>10500</v>
      </c>
      <c r="B6" s="221" t="s">
        <v>425</v>
      </c>
      <c r="C6" s="224">
        <v>21404487</v>
      </c>
      <c r="D6" s="224">
        <v>174459</v>
      </c>
      <c r="E6" s="224">
        <v>91722</v>
      </c>
      <c r="F6" s="224">
        <v>5155074</v>
      </c>
      <c r="G6" s="224">
        <v>504102</v>
      </c>
      <c r="H6" s="224"/>
      <c r="J6" s="224">
        <v>2790708</v>
      </c>
      <c r="K6" s="224">
        <v>1564556</v>
      </c>
      <c r="L6" s="224">
        <v>595305</v>
      </c>
      <c r="M6" s="224">
        <v>-296185</v>
      </c>
      <c r="N6" s="224">
        <f t="shared" si="0"/>
        <v>299120</v>
      </c>
      <c r="O6" s="241">
        <f t="shared" si="1"/>
        <v>4355264</v>
      </c>
    </row>
    <row r="7" spans="1:24" ht="13.8" x14ac:dyDescent="0.25">
      <c r="A7" s="219">
        <v>10700</v>
      </c>
      <c r="B7" s="221" t="s">
        <v>247</v>
      </c>
      <c r="C7" s="224">
        <v>150749539</v>
      </c>
      <c r="D7" s="224">
        <v>1228697</v>
      </c>
      <c r="E7" s="224">
        <v>645986</v>
      </c>
      <c r="F7" s="224">
        <v>36306644</v>
      </c>
      <c r="G7" s="224">
        <v>3797370</v>
      </c>
      <c r="H7" s="224"/>
      <c r="J7" s="224">
        <v>19654662</v>
      </c>
      <c r="K7" s="224">
        <v>2193783</v>
      </c>
      <c r="L7" s="224">
        <v>4192680</v>
      </c>
      <c r="M7" s="224">
        <v>2465972</v>
      </c>
      <c r="N7" s="224">
        <f t="shared" si="0"/>
        <v>6658652</v>
      </c>
      <c r="O7" s="241">
        <f t="shared" si="1"/>
        <v>21848445</v>
      </c>
    </row>
    <row r="8" spans="1:24" ht="13.8" x14ac:dyDescent="0.25">
      <c r="A8" s="219">
        <v>10800</v>
      </c>
      <c r="B8" s="221" t="s">
        <v>248</v>
      </c>
      <c r="C8" s="224">
        <v>661566811</v>
      </c>
      <c r="D8" s="224">
        <v>5392156</v>
      </c>
      <c r="E8" s="224">
        <v>2834922</v>
      </c>
      <c r="F8" s="224">
        <v>159332302</v>
      </c>
      <c r="G8" s="224">
        <v>34443756</v>
      </c>
      <c r="H8" s="224"/>
      <c r="J8" s="224">
        <v>86254805</v>
      </c>
      <c r="K8" s="224">
        <v>131783</v>
      </c>
      <c r="L8" s="224">
        <v>18399647</v>
      </c>
      <c r="M8" s="224">
        <v>12155218</v>
      </c>
      <c r="N8" s="224">
        <f t="shared" si="0"/>
        <v>30554865</v>
      </c>
      <c r="O8" s="241">
        <f t="shared" si="1"/>
        <v>86386588</v>
      </c>
    </row>
    <row r="9" spans="1:24" ht="13.8" x14ac:dyDescent="0.25">
      <c r="A9" s="219">
        <v>10850</v>
      </c>
      <c r="B9" s="221" t="s">
        <v>426</v>
      </c>
      <c r="C9" s="224">
        <v>5834431</v>
      </c>
      <c r="D9" s="224">
        <v>47554</v>
      </c>
      <c r="E9" s="224">
        <v>25001</v>
      </c>
      <c r="F9" s="224">
        <v>1405169</v>
      </c>
      <c r="G9" s="224">
        <v>1105047</v>
      </c>
      <c r="H9" s="224"/>
      <c r="J9" s="224">
        <v>760691</v>
      </c>
      <c r="K9" s="224">
        <v>263583</v>
      </c>
      <c r="L9" s="224">
        <v>162270</v>
      </c>
      <c r="M9" s="224">
        <v>177761</v>
      </c>
      <c r="N9" s="224">
        <f t="shared" si="0"/>
        <v>340031</v>
      </c>
      <c r="O9" s="241">
        <f t="shared" si="1"/>
        <v>1024274</v>
      </c>
    </row>
    <row r="10" spans="1:24" ht="13.8" x14ac:dyDescent="0.25">
      <c r="A10" s="220">
        <v>10900</v>
      </c>
      <c r="B10" s="222" t="s">
        <v>249</v>
      </c>
      <c r="C10" s="225">
        <v>56316271</v>
      </c>
      <c r="D10" s="233">
        <v>459010</v>
      </c>
      <c r="E10" s="233">
        <v>241324</v>
      </c>
      <c r="F10" s="233">
        <v>13563257</v>
      </c>
      <c r="G10" s="233">
        <v>6728447</v>
      </c>
      <c r="H10" s="233"/>
      <c r="J10" s="233">
        <v>7342492</v>
      </c>
      <c r="K10" s="233">
        <v>78799</v>
      </c>
      <c r="L10" s="233">
        <v>1566279</v>
      </c>
      <c r="M10" s="233">
        <v>2617484</v>
      </c>
      <c r="N10" s="224">
        <f t="shared" si="0"/>
        <v>4183763</v>
      </c>
      <c r="O10" s="241">
        <f t="shared" si="1"/>
        <v>7421291</v>
      </c>
    </row>
    <row r="11" spans="1:24" ht="13.8" x14ac:dyDescent="0.25">
      <c r="A11" s="220">
        <v>10910</v>
      </c>
      <c r="B11" s="223" t="s">
        <v>427</v>
      </c>
      <c r="C11" s="225">
        <v>16089156</v>
      </c>
      <c r="D11" s="233">
        <v>131136</v>
      </c>
      <c r="E11" s="233">
        <v>68945</v>
      </c>
      <c r="F11" s="233">
        <v>3874926</v>
      </c>
      <c r="G11" s="233">
        <v>2730974</v>
      </c>
      <c r="H11" s="233"/>
      <c r="J11" s="233">
        <v>2097697</v>
      </c>
      <c r="K11" s="226">
        <v>0</v>
      </c>
      <c r="L11" s="233">
        <v>447474</v>
      </c>
      <c r="M11" s="233">
        <v>1443918</v>
      </c>
      <c r="N11" s="224">
        <f t="shared" si="0"/>
        <v>1891392</v>
      </c>
      <c r="O11" s="241">
        <f t="shared" si="1"/>
        <v>2097697</v>
      </c>
    </row>
    <row r="12" spans="1:24" ht="13.8" x14ac:dyDescent="0.25">
      <c r="A12" s="220">
        <v>10930</v>
      </c>
      <c r="B12" s="223" t="s">
        <v>428</v>
      </c>
      <c r="C12" s="225">
        <v>188149942</v>
      </c>
      <c r="D12" s="233">
        <v>1533532</v>
      </c>
      <c r="E12" s="233">
        <v>806253</v>
      </c>
      <c r="F12" s="233">
        <v>45314188</v>
      </c>
      <c r="G12" s="233">
        <v>23296644</v>
      </c>
      <c r="H12" s="233"/>
      <c r="J12" s="233">
        <v>24530911</v>
      </c>
      <c r="K12" s="226">
        <v>0</v>
      </c>
      <c r="L12" s="233">
        <v>5232867</v>
      </c>
      <c r="M12" s="233">
        <v>23448525</v>
      </c>
      <c r="N12" s="224">
        <f t="shared" si="0"/>
        <v>28681392</v>
      </c>
      <c r="O12" s="241">
        <f t="shared" si="1"/>
        <v>24530911</v>
      </c>
    </row>
    <row r="13" spans="1:24" ht="13.8" x14ac:dyDescent="0.25">
      <c r="A13" s="220">
        <v>10940</v>
      </c>
      <c r="B13" s="222" t="s">
        <v>474</v>
      </c>
      <c r="C13" s="225">
        <v>25820430</v>
      </c>
      <c r="D13" s="233">
        <v>210452</v>
      </c>
      <c r="E13" s="233">
        <v>110645</v>
      </c>
      <c r="F13" s="233">
        <v>6218614</v>
      </c>
      <c r="G13" s="233">
        <v>3802017</v>
      </c>
      <c r="H13" s="233"/>
      <c r="J13" s="233">
        <v>3366457</v>
      </c>
      <c r="K13" s="226">
        <v>0</v>
      </c>
      <c r="L13" s="233">
        <v>718124</v>
      </c>
      <c r="M13" s="233">
        <v>1145188</v>
      </c>
      <c r="N13" s="224">
        <f t="shared" si="0"/>
        <v>1863312</v>
      </c>
      <c r="O13" s="241">
        <f t="shared" si="1"/>
        <v>3366457</v>
      </c>
    </row>
    <row r="14" spans="1:24" ht="13.8" x14ac:dyDescent="0.25">
      <c r="A14" s="220">
        <v>10950</v>
      </c>
      <c r="B14" s="223" t="s">
        <v>429</v>
      </c>
      <c r="C14" s="225">
        <v>36372778</v>
      </c>
      <c r="D14" s="233">
        <v>296459</v>
      </c>
      <c r="E14" s="233">
        <v>155863</v>
      </c>
      <c r="F14" s="233">
        <v>8760050</v>
      </c>
      <c r="G14" s="233">
        <v>5530251</v>
      </c>
      <c r="H14" s="233"/>
      <c r="J14" s="233">
        <v>4742268</v>
      </c>
      <c r="K14" s="226">
        <v>0</v>
      </c>
      <c r="L14" s="233">
        <v>1011606</v>
      </c>
      <c r="M14" s="233">
        <v>2323033</v>
      </c>
      <c r="N14" s="224">
        <f t="shared" si="0"/>
        <v>3334639</v>
      </c>
      <c r="O14" s="241">
        <f t="shared" si="1"/>
        <v>4742268</v>
      </c>
    </row>
    <row r="15" spans="1:24" ht="13.8" x14ac:dyDescent="0.25">
      <c r="A15" s="220">
        <v>11000</v>
      </c>
      <c r="B15" s="223" t="s">
        <v>839</v>
      </c>
      <c r="C15" s="225">
        <v>0</v>
      </c>
      <c r="D15" s="233">
        <v>0</v>
      </c>
      <c r="E15" s="233">
        <v>0</v>
      </c>
      <c r="F15" s="233">
        <v>0</v>
      </c>
      <c r="G15" s="233">
        <v>1711288</v>
      </c>
      <c r="H15" s="233"/>
      <c r="J15" s="233">
        <v>0</v>
      </c>
      <c r="K15" s="233">
        <v>0</v>
      </c>
      <c r="L15" s="233">
        <v>0</v>
      </c>
      <c r="M15" s="233">
        <v>427823</v>
      </c>
      <c r="N15" s="224">
        <f t="shared" si="0"/>
        <v>427823</v>
      </c>
      <c r="O15" s="241">
        <f t="shared" si="1"/>
        <v>0</v>
      </c>
    </row>
    <row r="16" spans="1:24" ht="13.8" x14ac:dyDescent="0.25">
      <c r="A16" s="219">
        <v>11050</v>
      </c>
      <c r="B16" s="221" t="s">
        <v>430</v>
      </c>
      <c r="C16" s="224">
        <v>7014457</v>
      </c>
      <c r="D16" s="224">
        <v>57172</v>
      </c>
      <c r="E16" s="224">
        <v>30058</v>
      </c>
      <c r="F16" s="224">
        <v>1689368</v>
      </c>
      <c r="G16" s="224">
        <v>355393</v>
      </c>
      <c r="H16" s="224"/>
      <c r="J16" s="224">
        <v>914542</v>
      </c>
      <c r="K16" s="224">
        <v>253268</v>
      </c>
      <c r="L16" s="224">
        <v>195088</v>
      </c>
      <c r="M16" s="224">
        <v>112546</v>
      </c>
      <c r="N16" s="224">
        <f t="shared" si="0"/>
        <v>307634</v>
      </c>
      <c r="O16" s="241">
        <f t="shared" si="1"/>
        <v>1167810</v>
      </c>
    </row>
    <row r="17" spans="1:15" ht="13.8" x14ac:dyDescent="0.25">
      <c r="A17" s="219">
        <v>11300</v>
      </c>
      <c r="B17" s="221" t="s">
        <v>431</v>
      </c>
      <c r="C17" s="224">
        <v>145158488</v>
      </c>
      <c r="D17" s="224">
        <v>1183126</v>
      </c>
      <c r="E17" s="224">
        <v>622028</v>
      </c>
      <c r="F17" s="224">
        <v>34960091</v>
      </c>
      <c r="G17" s="224">
        <v>6995954</v>
      </c>
      <c r="H17" s="224"/>
      <c r="J17" s="224">
        <v>18925703</v>
      </c>
      <c r="K17" s="224">
        <v>2128547</v>
      </c>
      <c r="L17" s="224">
        <v>4037181</v>
      </c>
      <c r="M17" s="224">
        <v>2201822</v>
      </c>
      <c r="N17" s="224">
        <f t="shared" si="0"/>
        <v>6239003</v>
      </c>
      <c r="O17" s="241">
        <f t="shared" si="1"/>
        <v>21054250</v>
      </c>
    </row>
    <row r="18" spans="1:15" ht="13.8" x14ac:dyDescent="0.25">
      <c r="A18" s="219">
        <v>11310</v>
      </c>
      <c r="B18" s="221" t="s">
        <v>432</v>
      </c>
      <c r="C18" s="224">
        <v>17442632</v>
      </c>
      <c r="D18" s="224">
        <v>142168</v>
      </c>
      <c r="E18" s="224">
        <v>74745</v>
      </c>
      <c r="F18" s="224">
        <v>4200898</v>
      </c>
      <c r="G18" s="224">
        <v>879250</v>
      </c>
      <c r="H18" s="224"/>
      <c r="J18" s="224">
        <v>2274163</v>
      </c>
      <c r="K18" s="224">
        <v>215070</v>
      </c>
      <c r="L18" s="224">
        <v>485118</v>
      </c>
      <c r="M18" s="224">
        <v>357322</v>
      </c>
      <c r="N18" s="224">
        <f t="shared" si="0"/>
        <v>842440</v>
      </c>
      <c r="O18" s="241">
        <f t="shared" si="1"/>
        <v>2489233</v>
      </c>
    </row>
    <row r="19" spans="1:15" ht="13.8" x14ac:dyDescent="0.25">
      <c r="A19" s="219">
        <v>11600</v>
      </c>
      <c r="B19" s="221" t="s">
        <v>250</v>
      </c>
      <c r="C19" s="224">
        <v>79294924</v>
      </c>
      <c r="D19" s="224">
        <v>646300</v>
      </c>
      <c r="E19" s="224">
        <v>339792</v>
      </c>
      <c r="F19" s="224">
        <v>19097455</v>
      </c>
      <c r="G19" s="224">
        <v>3211571</v>
      </c>
      <c r="H19" s="224"/>
      <c r="J19" s="224">
        <v>10338439</v>
      </c>
      <c r="K19" s="224">
        <v>645880</v>
      </c>
      <c r="L19" s="224">
        <v>2205369</v>
      </c>
      <c r="M19" s="224">
        <v>2787439</v>
      </c>
      <c r="N19" s="224">
        <f t="shared" si="0"/>
        <v>4992808</v>
      </c>
      <c r="O19" s="241">
        <f t="shared" si="1"/>
        <v>10984319</v>
      </c>
    </row>
    <row r="20" spans="1:15" ht="13.8" x14ac:dyDescent="0.25">
      <c r="A20" s="219">
        <v>11900</v>
      </c>
      <c r="B20" s="221" t="s">
        <v>251</v>
      </c>
      <c r="C20" s="224">
        <v>10360381</v>
      </c>
      <c r="D20" s="224">
        <v>84443</v>
      </c>
      <c r="E20" s="224">
        <v>44396</v>
      </c>
      <c r="F20" s="224">
        <v>2495203</v>
      </c>
      <c r="G20" s="224">
        <v>1929080</v>
      </c>
      <c r="H20" s="224"/>
      <c r="J20" s="224">
        <v>1350782</v>
      </c>
      <c r="K20" s="224">
        <v>1653297</v>
      </c>
      <c r="L20" s="224">
        <v>288145</v>
      </c>
      <c r="M20" s="224">
        <v>803902</v>
      </c>
      <c r="N20" s="224">
        <f t="shared" si="0"/>
        <v>1092047</v>
      </c>
      <c r="O20" s="241">
        <f t="shared" si="1"/>
        <v>3004079</v>
      </c>
    </row>
    <row r="21" spans="1:15" ht="13.8" x14ac:dyDescent="0.25">
      <c r="A21" s="219">
        <v>12100</v>
      </c>
      <c r="B21" s="221" t="s">
        <v>433</v>
      </c>
      <c r="C21" s="224">
        <v>9306851</v>
      </c>
      <c r="D21" s="224">
        <v>75856</v>
      </c>
      <c r="E21" s="224">
        <v>39881</v>
      </c>
      <c r="F21" s="224">
        <v>2241470</v>
      </c>
      <c r="G21" s="224">
        <v>607276</v>
      </c>
      <c r="H21" s="224"/>
      <c r="J21" s="224">
        <v>1213423</v>
      </c>
      <c r="K21" s="224">
        <v>66888</v>
      </c>
      <c r="L21" s="224">
        <v>258846</v>
      </c>
      <c r="M21" s="224">
        <v>342424</v>
      </c>
      <c r="N21" s="224">
        <f t="shared" si="0"/>
        <v>601270</v>
      </c>
      <c r="O21" s="241">
        <f t="shared" si="1"/>
        <v>1280311</v>
      </c>
    </row>
    <row r="22" spans="1:15" ht="13.8" x14ac:dyDescent="0.25">
      <c r="A22" s="220">
        <v>12150</v>
      </c>
      <c r="B22" s="222" t="s">
        <v>434</v>
      </c>
      <c r="C22" s="225">
        <v>411563</v>
      </c>
      <c r="D22" s="233">
        <v>3354</v>
      </c>
      <c r="E22" s="233">
        <v>1764</v>
      </c>
      <c r="F22" s="233">
        <v>99121</v>
      </c>
      <c r="G22" s="233">
        <v>109176</v>
      </c>
      <c r="H22" s="233"/>
      <c r="J22" s="233">
        <v>53659</v>
      </c>
      <c r="K22" s="233">
        <v>403874</v>
      </c>
      <c r="L22" s="233">
        <v>11446</v>
      </c>
      <c r="M22" s="233">
        <v>-169482</v>
      </c>
      <c r="N22" s="224">
        <f t="shared" si="0"/>
        <v>-158036</v>
      </c>
      <c r="O22" s="241">
        <f t="shared" si="1"/>
        <v>457533</v>
      </c>
    </row>
    <row r="23" spans="1:15" ht="13.8" x14ac:dyDescent="0.25">
      <c r="A23" s="220">
        <v>12160</v>
      </c>
      <c r="B23" s="223" t="s">
        <v>252</v>
      </c>
      <c r="C23" s="225">
        <v>59652334</v>
      </c>
      <c r="D23" s="233">
        <v>486201</v>
      </c>
      <c r="E23" s="233">
        <v>255620</v>
      </c>
      <c r="F23" s="233">
        <v>14366718</v>
      </c>
      <c r="G23" s="233">
        <v>2720860</v>
      </c>
      <c r="H23" s="233"/>
      <c r="J23" s="233">
        <v>7777446</v>
      </c>
      <c r="K23" s="233">
        <v>295196</v>
      </c>
      <c r="L23" s="233">
        <v>1659064</v>
      </c>
      <c r="M23" s="233">
        <v>864164</v>
      </c>
      <c r="N23" s="224">
        <f t="shared" si="0"/>
        <v>2523228</v>
      </c>
      <c r="O23" s="241">
        <f t="shared" si="1"/>
        <v>8072642</v>
      </c>
    </row>
    <row r="24" spans="1:15" ht="13.8" x14ac:dyDescent="0.25">
      <c r="A24" s="220">
        <v>12220</v>
      </c>
      <c r="B24" s="222" t="s">
        <v>435</v>
      </c>
      <c r="C24" s="225">
        <v>1351623478</v>
      </c>
      <c r="D24" s="233">
        <v>11016521</v>
      </c>
      <c r="E24" s="233">
        <v>5791927</v>
      </c>
      <c r="F24" s="233">
        <v>325526123</v>
      </c>
      <c r="G24" s="233">
        <v>60782398</v>
      </c>
      <c r="H24" s="233"/>
      <c r="J24" s="233">
        <v>176224105</v>
      </c>
      <c r="K24" s="233">
        <v>103457934</v>
      </c>
      <c r="L24" s="233">
        <v>37591655</v>
      </c>
      <c r="M24" s="233">
        <v>-9045893</v>
      </c>
      <c r="N24" s="224">
        <f t="shared" si="0"/>
        <v>28545762</v>
      </c>
      <c r="O24" s="241">
        <f t="shared" si="1"/>
        <v>279682039</v>
      </c>
    </row>
    <row r="25" spans="1:15" ht="13.8" x14ac:dyDescent="0.25">
      <c r="A25" s="220">
        <v>12510</v>
      </c>
      <c r="B25" s="223" t="s">
        <v>253</v>
      </c>
      <c r="C25" s="225">
        <v>130786227</v>
      </c>
      <c r="D25" s="233">
        <v>1065984</v>
      </c>
      <c r="E25" s="233">
        <v>560440</v>
      </c>
      <c r="F25" s="233">
        <v>31498663</v>
      </c>
      <c r="G25" s="233">
        <v>9906710</v>
      </c>
      <c r="H25" s="233"/>
      <c r="J25" s="233">
        <v>17051854</v>
      </c>
      <c r="K25" s="233">
        <v>10115767</v>
      </c>
      <c r="L25" s="233">
        <v>3637455</v>
      </c>
      <c r="M25" s="233">
        <v>825877</v>
      </c>
      <c r="N25" s="224">
        <f t="shared" si="0"/>
        <v>4463332</v>
      </c>
      <c r="O25" s="241">
        <f t="shared" si="1"/>
        <v>27167621</v>
      </c>
    </row>
    <row r="26" spans="1:15" ht="13.8" x14ac:dyDescent="0.25">
      <c r="A26" s="220">
        <v>12600</v>
      </c>
      <c r="B26" s="223" t="s">
        <v>436</v>
      </c>
      <c r="C26" s="225">
        <v>57098475</v>
      </c>
      <c r="D26" s="233">
        <v>465386</v>
      </c>
      <c r="E26" s="233">
        <v>244676</v>
      </c>
      <c r="F26" s="233">
        <v>13751644</v>
      </c>
      <c r="G26" s="233">
        <v>1256976</v>
      </c>
      <c r="H26" s="233"/>
      <c r="J26" s="233">
        <v>7444475</v>
      </c>
      <c r="K26" s="233">
        <v>1190243</v>
      </c>
      <c r="L26" s="233">
        <v>1588035</v>
      </c>
      <c r="M26" s="233">
        <v>307973</v>
      </c>
      <c r="N26" s="224">
        <f t="shared" si="0"/>
        <v>1896008</v>
      </c>
      <c r="O26" s="241">
        <f t="shared" si="1"/>
        <v>8634718</v>
      </c>
    </row>
    <row r="27" spans="1:15" ht="13.8" x14ac:dyDescent="0.25">
      <c r="A27" s="220">
        <v>12700</v>
      </c>
      <c r="B27" s="223" t="s">
        <v>437</v>
      </c>
      <c r="C27" s="225">
        <v>31477444</v>
      </c>
      <c r="D27" s="233">
        <v>256560</v>
      </c>
      <c r="E27" s="233">
        <v>134886</v>
      </c>
      <c r="F27" s="233">
        <v>7581054</v>
      </c>
      <c r="G27" s="233">
        <v>1141638</v>
      </c>
      <c r="H27" s="233"/>
      <c r="J27" s="233">
        <v>4104016</v>
      </c>
      <c r="K27" s="233">
        <v>1521641</v>
      </c>
      <c r="L27" s="233">
        <v>875457</v>
      </c>
      <c r="M27" s="233">
        <v>-132039</v>
      </c>
      <c r="N27" s="224">
        <f t="shared" si="0"/>
        <v>743418</v>
      </c>
      <c r="O27" s="241">
        <f t="shared" si="1"/>
        <v>5625657</v>
      </c>
    </row>
    <row r="28" spans="1:15" ht="13.8" x14ac:dyDescent="0.25">
      <c r="A28" s="219">
        <v>13500</v>
      </c>
      <c r="B28" s="221" t="s">
        <v>438</v>
      </c>
      <c r="C28" s="224">
        <v>135911108</v>
      </c>
      <c r="D28" s="224">
        <v>1107755</v>
      </c>
      <c r="E28" s="224">
        <v>582401</v>
      </c>
      <c r="F28" s="224">
        <v>32732944</v>
      </c>
      <c r="G28" s="224">
        <v>5267159</v>
      </c>
      <c r="H28" s="224"/>
      <c r="J28" s="224">
        <v>17720033</v>
      </c>
      <c r="K28" s="224">
        <v>781924</v>
      </c>
      <c r="L28" s="224">
        <v>3779990</v>
      </c>
      <c r="M28" s="224">
        <v>925754</v>
      </c>
      <c r="N28" s="224">
        <f t="shared" si="0"/>
        <v>4705744</v>
      </c>
      <c r="O28" s="241">
        <f t="shared" si="1"/>
        <v>18501957</v>
      </c>
    </row>
    <row r="29" spans="1:15" ht="13.8" x14ac:dyDescent="0.25">
      <c r="A29" s="219">
        <v>13700</v>
      </c>
      <c r="B29" s="221" t="s">
        <v>439</v>
      </c>
      <c r="C29" s="224">
        <v>16309761</v>
      </c>
      <c r="D29" s="224">
        <v>132934</v>
      </c>
      <c r="E29" s="224">
        <v>69890</v>
      </c>
      <c r="F29" s="224">
        <v>3928056</v>
      </c>
      <c r="G29" s="224">
        <v>1789450</v>
      </c>
      <c r="H29" s="224"/>
      <c r="J29" s="224">
        <v>2126460</v>
      </c>
      <c r="K29" s="224">
        <v>157264</v>
      </c>
      <c r="L29" s="224">
        <v>453609</v>
      </c>
      <c r="M29" s="224">
        <v>471970</v>
      </c>
      <c r="N29" s="224">
        <f t="shared" si="0"/>
        <v>925579</v>
      </c>
      <c r="O29" s="241">
        <f t="shared" si="1"/>
        <v>2283724</v>
      </c>
    </row>
    <row r="30" spans="1:15" ht="13.8" x14ac:dyDescent="0.25">
      <c r="A30" s="219">
        <v>14300</v>
      </c>
      <c r="B30" s="221" t="s">
        <v>798</v>
      </c>
      <c r="C30" s="224">
        <v>47663189</v>
      </c>
      <c r="D30" s="224">
        <v>388483</v>
      </c>
      <c r="E30" s="224">
        <v>204245</v>
      </c>
      <c r="F30" s="224">
        <v>11479242</v>
      </c>
      <c r="G30" s="224">
        <v>2229920</v>
      </c>
      <c r="H30" s="224"/>
      <c r="J30" s="224">
        <v>6214307</v>
      </c>
      <c r="K30" s="224">
        <v>483379</v>
      </c>
      <c r="L30" s="224">
        <v>1325618</v>
      </c>
      <c r="M30" s="224">
        <v>41204</v>
      </c>
      <c r="N30" s="224">
        <f t="shared" si="0"/>
        <v>1366822</v>
      </c>
      <c r="O30" s="241">
        <f t="shared" si="1"/>
        <v>6697686</v>
      </c>
    </row>
    <row r="31" spans="1:15" ht="13.8" x14ac:dyDescent="0.25">
      <c r="A31" s="219">
        <v>14300.2</v>
      </c>
      <c r="B31" s="221" t="s">
        <v>440</v>
      </c>
      <c r="C31" s="224">
        <v>5339619</v>
      </c>
      <c r="D31" s="224">
        <v>43521</v>
      </c>
      <c r="E31" s="224">
        <v>22881</v>
      </c>
      <c r="F31" s="224">
        <v>1285998</v>
      </c>
      <c r="G31" s="224">
        <v>438973</v>
      </c>
      <c r="H31" s="224"/>
      <c r="J31" s="224">
        <v>696177</v>
      </c>
      <c r="K31" s="224">
        <v>751526</v>
      </c>
      <c r="L31" s="224">
        <v>148507</v>
      </c>
      <c r="M31" s="224">
        <v>141594</v>
      </c>
      <c r="N31" s="224">
        <f t="shared" si="0"/>
        <v>290101</v>
      </c>
      <c r="O31" s="241">
        <f t="shared" si="1"/>
        <v>1447703</v>
      </c>
    </row>
    <row r="32" spans="1:15" ht="13.8" x14ac:dyDescent="0.25">
      <c r="A32" s="219">
        <v>18400</v>
      </c>
      <c r="B32" s="221" t="s">
        <v>441</v>
      </c>
      <c r="C32" s="224">
        <v>159147393</v>
      </c>
      <c r="D32" s="224">
        <v>1297144</v>
      </c>
      <c r="E32" s="224">
        <v>681973</v>
      </c>
      <c r="F32" s="224">
        <v>38329190</v>
      </c>
      <c r="G32" s="224">
        <v>397748</v>
      </c>
      <c r="H32" s="224"/>
      <c r="J32" s="224">
        <v>20749571</v>
      </c>
      <c r="K32" s="224">
        <v>1568771</v>
      </c>
      <c r="L32" s="224">
        <v>4426242</v>
      </c>
      <c r="M32" s="224">
        <v>-614201</v>
      </c>
      <c r="N32" s="224">
        <f t="shared" si="0"/>
        <v>3812041</v>
      </c>
      <c r="O32" s="241">
        <f t="shared" si="1"/>
        <v>22318342</v>
      </c>
    </row>
    <row r="33" spans="1:15" ht="13.8" x14ac:dyDescent="0.25">
      <c r="A33" s="219">
        <v>18600</v>
      </c>
      <c r="B33" s="221" t="s">
        <v>442</v>
      </c>
      <c r="C33" s="224">
        <v>305760</v>
      </c>
      <c r="D33" s="224">
        <v>2492</v>
      </c>
      <c r="E33" s="224">
        <v>1310</v>
      </c>
      <c r="F33" s="224">
        <v>73639</v>
      </c>
      <c r="G33" s="224">
        <v>36098</v>
      </c>
      <c r="H33" s="224"/>
      <c r="J33" s="224">
        <v>39865</v>
      </c>
      <c r="K33" s="224">
        <v>99789</v>
      </c>
      <c r="L33" s="224">
        <v>8502</v>
      </c>
      <c r="M33" s="224">
        <v>-22806</v>
      </c>
      <c r="N33" s="224">
        <f t="shared" si="0"/>
        <v>-14304</v>
      </c>
      <c r="O33" s="241">
        <f t="shared" si="1"/>
        <v>139654</v>
      </c>
    </row>
    <row r="34" spans="1:15" ht="13.8" x14ac:dyDescent="0.25">
      <c r="A34" s="220">
        <v>18640</v>
      </c>
      <c r="B34" s="222" t="s">
        <v>241</v>
      </c>
      <c r="C34" s="226">
        <v>72477</v>
      </c>
      <c r="D34" s="226">
        <v>591</v>
      </c>
      <c r="E34" s="226">
        <v>311</v>
      </c>
      <c r="F34" s="226">
        <v>17456</v>
      </c>
      <c r="G34" s="226">
        <v>14338</v>
      </c>
      <c r="H34" s="226"/>
      <c r="J34" s="226">
        <v>9450</v>
      </c>
      <c r="K34" s="226">
        <v>392</v>
      </c>
      <c r="L34" s="226">
        <v>2015</v>
      </c>
      <c r="M34" s="233">
        <v>8558</v>
      </c>
      <c r="N34" s="224">
        <f t="shared" si="0"/>
        <v>10573</v>
      </c>
      <c r="O34" s="241">
        <f t="shared" si="1"/>
        <v>9842</v>
      </c>
    </row>
    <row r="35" spans="1:15" ht="13.8" x14ac:dyDescent="0.25">
      <c r="A35" s="220">
        <v>18740</v>
      </c>
      <c r="B35" s="223" t="s">
        <v>443</v>
      </c>
      <c r="C35" s="225">
        <v>0</v>
      </c>
      <c r="D35" s="233">
        <v>0</v>
      </c>
      <c r="E35" s="233">
        <v>0</v>
      </c>
      <c r="F35" s="233">
        <v>0</v>
      </c>
      <c r="G35" s="233">
        <v>23872</v>
      </c>
      <c r="H35" s="233"/>
      <c r="J35" s="233">
        <v>0</v>
      </c>
      <c r="K35" s="226">
        <v>43423</v>
      </c>
      <c r="L35" s="233">
        <v>0</v>
      </c>
      <c r="M35" s="233">
        <v>-35377</v>
      </c>
      <c r="N35" s="224">
        <f t="shared" si="0"/>
        <v>-35377</v>
      </c>
      <c r="O35" s="241">
        <f t="shared" si="1"/>
        <v>43423</v>
      </c>
    </row>
    <row r="36" spans="1:15" ht="13.8" x14ac:dyDescent="0.25">
      <c r="A36" s="220">
        <v>18780</v>
      </c>
      <c r="B36" s="223" t="s">
        <v>444</v>
      </c>
      <c r="C36" s="225">
        <v>861726</v>
      </c>
      <c r="D36" s="233">
        <v>7024</v>
      </c>
      <c r="E36" s="233">
        <v>3693</v>
      </c>
      <c r="F36" s="233">
        <v>207539</v>
      </c>
      <c r="G36" s="233">
        <v>84193</v>
      </c>
      <c r="H36" s="233"/>
      <c r="J36" s="233">
        <v>112351</v>
      </c>
      <c r="K36" s="233">
        <v>0</v>
      </c>
      <c r="L36" s="233">
        <v>23966</v>
      </c>
      <c r="M36" s="233">
        <v>46430</v>
      </c>
      <c r="N36" s="224">
        <f t="shared" si="0"/>
        <v>70396</v>
      </c>
      <c r="O36" s="241">
        <f t="shared" si="1"/>
        <v>112351</v>
      </c>
    </row>
    <row r="37" spans="1:15" ht="13.8" x14ac:dyDescent="0.25">
      <c r="A37" s="220">
        <v>19005</v>
      </c>
      <c r="B37" s="222" t="s">
        <v>445</v>
      </c>
      <c r="C37" s="225">
        <v>31161032</v>
      </c>
      <c r="D37" s="233">
        <v>253981</v>
      </c>
      <c r="E37" s="233">
        <v>133530</v>
      </c>
      <c r="F37" s="233">
        <v>7504849</v>
      </c>
      <c r="G37" s="233">
        <v>5863760</v>
      </c>
      <c r="H37" s="233"/>
      <c r="J37" s="233">
        <v>4062762</v>
      </c>
      <c r="K37" s="233">
        <v>200394</v>
      </c>
      <c r="L37" s="233">
        <v>866657</v>
      </c>
      <c r="M37" s="233">
        <v>1672670</v>
      </c>
      <c r="N37" s="224">
        <f t="shared" si="0"/>
        <v>2539327</v>
      </c>
      <c r="O37" s="241">
        <f t="shared" si="1"/>
        <v>4263156</v>
      </c>
    </row>
    <row r="38" spans="1:15" ht="13.8" x14ac:dyDescent="0.25">
      <c r="A38" s="220">
        <v>19100</v>
      </c>
      <c r="B38" s="223" t="s">
        <v>254</v>
      </c>
      <c r="C38" s="225">
        <v>612432911</v>
      </c>
      <c r="D38" s="233">
        <v>4991686</v>
      </c>
      <c r="E38" s="233">
        <v>2624375</v>
      </c>
      <c r="F38" s="233">
        <v>147498853</v>
      </c>
      <c r="G38" s="233">
        <v>69630554</v>
      </c>
      <c r="H38" s="233"/>
      <c r="J38" s="233">
        <v>79848748</v>
      </c>
      <c r="K38" s="226">
        <v>930313491</v>
      </c>
      <c r="L38" s="233">
        <v>17033120</v>
      </c>
      <c r="M38" s="233">
        <v>-278948242</v>
      </c>
      <c r="N38" s="224">
        <f t="shared" si="0"/>
        <v>-261915122</v>
      </c>
      <c r="O38" s="241">
        <f t="shared" si="1"/>
        <v>1010162239</v>
      </c>
    </row>
    <row r="39" spans="1:15" ht="13.8" x14ac:dyDescent="0.25">
      <c r="A39" s="220">
        <v>19120</v>
      </c>
      <c r="B39" s="222" t="s">
        <v>809</v>
      </c>
      <c r="C39" s="225">
        <v>1541628419</v>
      </c>
      <c r="D39" s="233">
        <v>12565172</v>
      </c>
      <c r="E39" s="233">
        <v>6606129</v>
      </c>
      <c r="F39" s="233">
        <v>371287071</v>
      </c>
      <c r="G39" s="233">
        <v>870047883</v>
      </c>
      <c r="H39" s="233"/>
      <c r="J39" s="233">
        <v>200996869</v>
      </c>
      <c r="K39" s="233">
        <v>0</v>
      </c>
      <c r="L39" s="233">
        <v>42876116</v>
      </c>
      <c r="M39" s="233">
        <v>288865370</v>
      </c>
      <c r="N39" s="224">
        <f t="shared" si="0"/>
        <v>331741486</v>
      </c>
      <c r="O39" s="241">
        <f t="shared" si="1"/>
        <v>200996869</v>
      </c>
    </row>
    <row r="40" spans="1:15" ht="13.8" x14ac:dyDescent="0.25">
      <c r="A40" s="219">
        <v>20100</v>
      </c>
      <c r="B40" s="221" t="s">
        <v>37</v>
      </c>
      <c r="C40" s="224">
        <v>373284226</v>
      </c>
      <c r="D40" s="224">
        <v>3042484</v>
      </c>
      <c r="E40" s="224">
        <v>1599584</v>
      </c>
      <c r="F40" s="224">
        <v>89902085</v>
      </c>
      <c r="G40" s="224">
        <v>16112456</v>
      </c>
      <c r="H40" s="224"/>
      <c r="J40" s="224">
        <v>48668642</v>
      </c>
      <c r="K40" s="224">
        <v>1326259</v>
      </c>
      <c r="L40" s="224">
        <v>10381864</v>
      </c>
      <c r="M40" s="224">
        <v>6460689</v>
      </c>
      <c r="N40" s="224">
        <f t="shared" si="0"/>
        <v>16842553</v>
      </c>
      <c r="O40" s="241">
        <f t="shared" si="1"/>
        <v>49994901</v>
      </c>
    </row>
    <row r="41" spans="1:15" ht="13.8" x14ac:dyDescent="0.25">
      <c r="A41" s="219">
        <v>20200</v>
      </c>
      <c r="B41" s="221" t="s">
        <v>446</v>
      </c>
      <c r="C41" s="224">
        <v>50380921</v>
      </c>
      <c r="D41" s="224">
        <v>410634</v>
      </c>
      <c r="E41" s="224">
        <v>215890</v>
      </c>
      <c r="F41" s="224">
        <v>12133783</v>
      </c>
      <c r="G41" s="224">
        <v>383088</v>
      </c>
      <c r="H41" s="224"/>
      <c r="J41" s="224">
        <v>6568643</v>
      </c>
      <c r="K41" s="224">
        <v>988765</v>
      </c>
      <c r="L41" s="224">
        <v>1401205</v>
      </c>
      <c r="M41" s="224">
        <v>363243</v>
      </c>
      <c r="N41" s="224">
        <f t="shared" si="0"/>
        <v>1764448</v>
      </c>
      <c r="O41" s="241">
        <f t="shared" si="1"/>
        <v>7557408</v>
      </c>
    </row>
    <row r="42" spans="1:15" ht="13.8" x14ac:dyDescent="0.25">
      <c r="A42" s="219">
        <v>20300</v>
      </c>
      <c r="B42" s="221" t="s">
        <v>39</v>
      </c>
      <c r="C42" s="224">
        <v>756845778</v>
      </c>
      <c r="D42" s="224">
        <v>6168735</v>
      </c>
      <c r="E42" s="224">
        <v>3243208</v>
      </c>
      <c r="F42" s="224">
        <v>182279367</v>
      </c>
      <c r="G42" s="224">
        <v>0</v>
      </c>
      <c r="H42" s="224"/>
      <c r="J42" s="224">
        <v>98677237</v>
      </c>
      <c r="K42" s="224">
        <v>29694566</v>
      </c>
      <c r="L42" s="224">
        <v>21049564</v>
      </c>
      <c r="M42" s="224">
        <v>-13316254</v>
      </c>
      <c r="N42" s="224">
        <f t="shared" si="0"/>
        <v>7733310</v>
      </c>
      <c r="O42" s="241">
        <f t="shared" si="1"/>
        <v>128371803</v>
      </c>
    </row>
    <row r="43" spans="1:15" ht="13.8" x14ac:dyDescent="0.25">
      <c r="A43" s="219">
        <v>20400</v>
      </c>
      <c r="B43" s="221" t="s">
        <v>40</v>
      </c>
      <c r="C43" s="224">
        <v>42970843</v>
      </c>
      <c r="D43" s="224">
        <v>350237</v>
      </c>
      <c r="E43" s="224">
        <v>184137</v>
      </c>
      <c r="F43" s="224">
        <v>10349133</v>
      </c>
      <c r="G43" s="224">
        <v>2729275</v>
      </c>
      <c r="H43" s="224"/>
      <c r="J43" s="224">
        <v>5602520</v>
      </c>
      <c r="K43" s="224">
        <v>200908</v>
      </c>
      <c r="L43" s="224">
        <v>1195113</v>
      </c>
      <c r="M43" s="224">
        <v>971956</v>
      </c>
      <c r="N43" s="224">
        <f t="shared" si="0"/>
        <v>2167069</v>
      </c>
      <c r="O43" s="241">
        <f t="shared" si="1"/>
        <v>5803428</v>
      </c>
    </row>
    <row r="44" spans="1:15" ht="13.8" x14ac:dyDescent="0.25">
      <c r="A44" s="219">
        <v>20600</v>
      </c>
      <c r="B44" s="221" t="s">
        <v>41</v>
      </c>
      <c r="C44" s="224">
        <v>90427201</v>
      </c>
      <c r="D44" s="224">
        <v>737034</v>
      </c>
      <c r="E44" s="224">
        <v>387495</v>
      </c>
      <c r="F44" s="224">
        <v>21778562</v>
      </c>
      <c r="G44" s="224">
        <v>3899649</v>
      </c>
      <c r="H44" s="224"/>
      <c r="J44" s="224">
        <v>11789861</v>
      </c>
      <c r="K44" s="224">
        <v>3549023</v>
      </c>
      <c r="L44" s="224">
        <v>2514982</v>
      </c>
      <c r="M44" s="224">
        <v>-920686</v>
      </c>
      <c r="N44" s="224">
        <f t="shared" si="0"/>
        <v>1594296</v>
      </c>
      <c r="O44" s="241">
        <f t="shared" si="1"/>
        <v>15338884</v>
      </c>
    </row>
    <row r="45" spans="1:15" ht="13.8" x14ac:dyDescent="0.25">
      <c r="A45" s="219">
        <v>20700</v>
      </c>
      <c r="B45" s="221" t="s">
        <v>447</v>
      </c>
      <c r="C45" s="224">
        <v>193423305</v>
      </c>
      <c r="D45" s="224">
        <v>1576513</v>
      </c>
      <c r="E45" s="224">
        <v>828850</v>
      </c>
      <c r="F45" s="224">
        <v>46584229</v>
      </c>
      <c r="G45" s="224">
        <v>3071119</v>
      </c>
      <c r="H45" s="224"/>
      <c r="J45" s="224">
        <v>25218450</v>
      </c>
      <c r="K45" s="224">
        <v>5377540</v>
      </c>
      <c r="L45" s="224">
        <v>5379534</v>
      </c>
      <c r="M45" s="224">
        <v>110222</v>
      </c>
      <c r="N45" s="224">
        <f t="shared" si="0"/>
        <v>5489756</v>
      </c>
      <c r="O45" s="241">
        <f t="shared" si="1"/>
        <v>30595990</v>
      </c>
    </row>
    <row r="46" spans="1:15" ht="13.8" x14ac:dyDescent="0.25">
      <c r="A46" s="220">
        <v>20800</v>
      </c>
      <c r="B46" s="222" t="s">
        <v>448</v>
      </c>
      <c r="C46" s="225">
        <v>129998693</v>
      </c>
      <c r="D46" s="233">
        <v>1059565</v>
      </c>
      <c r="E46" s="233">
        <v>557066</v>
      </c>
      <c r="F46" s="233">
        <v>31308993</v>
      </c>
      <c r="G46" s="233">
        <v>0</v>
      </c>
      <c r="H46" s="233"/>
      <c r="J46" s="233">
        <v>16949175</v>
      </c>
      <c r="K46" s="233">
        <v>9000386</v>
      </c>
      <c r="L46" s="233">
        <v>3615553</v>
      </c>
      <c r="M46" s="233">
        <v>-3726804</v>
      </c>
      <c r="N46" s="224">
        <f t="shared" si="0"/>
        <v>-111251</v>
      </c>
      <c r="O46" s="241">
        <f t="shared" si="1"/>
        <v>25949561</v>
      </c>
    </row>
    <row r="47" spans="1:15" ht="13.8" x14ac:dyDescent="0.25">
      <c r="A47" s="220">
        <v>20900</v>
      </c>
      <c r="B47" s="223" t="s">
        <v>44</v>
      </c>
      <c r="C47" s="225">
        <v>313868415</v>
      </c>
      <c r="D47" s="233">
        <v>2558211</v>
      </c>
      <c r="E47" s="233">
        <v>1344977</v>
      </c>
      <c r="F47" s="233">
        <v>75592332</v>
      </c>
      <c r="G47" s="233">
        <v>2715785</v>
      </c>
      <c r="H47" s="233"/>
      <c r="J47" s="233">
        <v>40922034</v>
      </c>
      <c r="K47" s="233">
        <v>22464225</v>
      </c>
      <c r="L47" s="233">
        <v>8729377</v>
      </c>
      <c r="M47" s="233">
        <v>-1027291</v>
      </c>
      <c r="N47" s="224">
        <f t="shared" si="0"/>
        <v>7702086</v>
      </c>
      <c r="O47" s="241">
        <f t="shared" si="1"/>
        <v>63386259</v>
      </c>
    </row>
    <row r="48" spans="1:15" ht="13.8" x14ac:dyDescent="0.25">
      <c r="A48" s="220">
        <v>21200</v>
      </c>
      <c r="B48" s="223" t="s">
        <v>449</v>
      </c>
      <c r="C48" s="225">
        <v>99895006</v>
      </c>
      <c r="D48" s="233">
        <v>814203</v>
      </c>
      <c r="E48" s="233">
        <v>428066</v>
      </c>
      <c r="F48" s="233">
        <v>24058796</v>
      </c>
      <c r="G48" s="233">
        <v>1886975</v>
      </c>
      <c r="H48" s="233"/>
      <c r="J48" s="233">
        <v>13024269</v>
      </c>
      <c r="K48" s="233">
        <v>5135332</v>
      </c>
      <c r="L48" s="233">
        <v>2778301</v>
      </c>
      <c r="M48" s="233">
        <v>-326214</v>
      </c>
      <c r="N48" s="224">
        <f t="shared" si="0"/>
        <v>2452087</v>
      </c>
      <c r="O48" s="241">
        <f t="shared" si="1"/>
        <v>18159601</v>
      </c>
    </row>
    <row r="49" spans="1:15" ht="13.8" x14ac:dyDescent="0.25">
      <c r="A49" s="220">
        <v>21300</v>
      </c>
      <c r="B49" s="223" t="s">
        <v>450</v>
      </c>
      <c r="C49" s="225">
        <v>1312370446</v>
      </c>
      <c r="D49" s="233">
        <v>10696585</v>
      </c>
      <c r="E49" s="233">
        <v>5623721</v>
      </c>
      <c r="F49" s="233">
        <v>316072390</v>
      </c>
      <c r="G49" s="233">
        <v>30469480</v>
      </c>
      <c r="H49" s="233"/>
      <c r="J49" s="233">
        <v>171106311</v>
      </c>
      <c r="K49" s="226">
        <v>25324202</v>
      </c>
      <c r="L49" s="233">
        <v>36499941</v>
      </c>
      <c r="M49" s="233">
        <v>464721</v>
      </c>
      <c r="N49" s="224">
        <f t="shared" si="0"/>
        <v>36964662</v>
      </c>
      <c r="O49" s="241">
        <f t="shared" si="1"/>
        <v>196430513</v>
      </c>
    </row>
    <row r="50" spans="1:15" ht="13.8" x14ac:dyDescent="0.25">
      <c r="A50" s="220">
        <v>21520</v>
      </c>
      <c r="B50" s="223" t="s">
        <v>475</v>
      </c>
      <c r="C50" s="225">
        <v>2531485674</v>
      </c>
      <c r="D50" s="233">
        <v>20633086</v>
      </c>
      <c r="E50" s="233">
        <v>10847829</v>
      </c>
      <c r="F50" s="233">
        <v>609685114</v>
      </c>
      <c r="G50" s="233">
        <v>88532788</v>
      </c>
      <c r="H50" s="233"/>
      <c r="J50" s="233">
        <v>330054044</v>
      </c>
      <c r="K50" s="233">
        <v>0</v>
      </c>
      <c r="L50" s="233">
        <v>70406248</v>
      </c>
      <c r="M50" s="233">
        <v>43462880</v>
      </c>
      <c r="N50" s="224">
        <f t="shared" si="0"/>
        <v>113869128</v>
      </c>
      <c r="O50" s="241">
        <f t="shared" si="1"/>
        <v>330054044</v>
      </c>
    </row>
    <row r="51" spans="1:15" ht="13.8" x14ac:dyDescent="0.25">
      <c r="A51" s="252">
        <v>21525</v>
      </c>
      <c r="B51" s="223" t="s">
        <v>810</v>
      </c>
      <c r="C51" s="225">
        <v>65271163</v>
      </c>
      <c r="D51" s="233">
        <v>531998</v>
      </c>
      <c r="E51" s="233">
        <v>279698</v>
      </c>
      <c r="F51" s="233">
        <v>15719961</v>
      </c>
      <c r="G51" s="233">
        <v>4734033</v>
      </c>
      <c r="H51" s="233"/>
      <c r="J51" s="233">
        <v>8510027</v>
      </c>
      <c r="K51" s="233">
        <v>612435</v>
      </c>
      <c r="L51" s="233">
        <v>1815337</v>
      </c>
      <c r="M51" s="233">
        <v>2122223</v>
      </c>
      <c r="N51" s="224">
        <f t="shared" si="0"/>
        <v>3937560</v>
      </c>
      <c r="O51" s="241">
        <f t="shared" si="1"/>
        <v>9122462</v>
      </c>
    </row>
    <row r="52" spans="1:15" ht="13.8" x14ac:dyDescent="0.25">
      <c r="A52" s="219">
        <v>21525.200000000001</v>
      </c>
      <c r="B52" s="221" t="s">
        <v>811</v>
      </c>
      <c r="C52" s="224">
        <v>7127447</v>
      </c>
      <c r="D52" s="224">
        <v>58093</v>
      </c>
      <c r="E52" s="224">
        <v>30542</v>
      </c>
      <c r="F52" s="224">
        <v>1716580</v>
      </c>
      <c r="G52" s="224">
        <v>1190381</v>
      </c>
      <c r="H52" s="224"/>
      <c r="J52" s="224">
        <v>929274</v>
      </c>
      <c r="K52" s="224">
        <v>0</v>
      </c>
      <c r="L52" s="224">
        <v>198230</v>
      </c>
      <c r="M52" s="224">
        <v>543403</v>
      </c>
      <c r="N52" s="224">
        <f t="shared" si="0"/>
        <v>741633</v>
      </c>
      <c r="O52" s="241">
        <f t="shared" si="1"/>
        <v>929274</v>
      </c>
    </row>
    <row r="53" spans="1:15" ht="13.8" x14ac:dyDescent="0.25">
      <c r="A53" s="219">
        <v>21550</v>
      </c>
      <c r="B53" s="221" t="s">
        <v>48</v>
      </c>
      <c r="C53" s="224">
        <v>1468724001</v>
      </c>
      <c r="D53" s="224">
        <v>11970958</v>
      </c>
      <c r="E53" s="224">
        <v>6293722</v>
      </c>
      <c r="F53" s="224">
        <v>353728710</v>
      </c>
      <c r="G53" s="224">
        <v>39724399</v>
      </c>
      <c r="H53" s="224"/>
      <c r="J53" s="224">
        <v>191491622</v>
      </c>
      <c r="K53" s="224">
        <v>67110677</v>
      </c>
      <c r="L53" s="224">
        <v>40848478</v>
      </c>
      <c r="M53" s="224">
        <v>29011024</v>
      </c>
      <c r="N53" s="224">
        <f t="shared" si="0"/>
        <v>69859502</v>
      </c>
      <c r="O53" s="241">
        <f t="shared" si="1"/>
        <v>258602299</v>
      </c>
    </row>
    <row r="54" spans="1:15" ht="13.8" x14ac:dyDescent="0.25">
      <c r="A54" s="219">
        <v>21570</v>
      </c>
      <c r="B54" s="221" t="s">
        <v>255</v>
      </c>
      <c r="C54" s="224">
        <v>5816612</v>
      </c>
      <c r="D54" s="224">
        <v>47409</v>
      </c>
      <c r="E54" s="224">
        <v>24925</v>
      </c>
      <c r="F54" s="224">
        <v>1400878</v>
      </c>
      <c r="G54" s="224">
        <v>200425</v>
      </c>
      <c r="H54" s="224"/>
      <c r="J54" s="224">
        <v>758367</v>
      </c>
      <c r="K54" s="224">
        <v>445240</v>
      </c>
      <c r="L54" s="224">
        <v>161773</v>
      </c>
      <c r="M54" s="224">
        <v>126114</v>
      </c>
      <c r="N54" s="224">
        <f t="shared" si="0"/>
        <v>287887</v>
      </c>
      <c r="O54" s="241">
        <f t="shared" si="1"/>
        <v>1203607</v>
      </c>
    </row>
    <row r="55" spans="1:15" ht="13.8" x14ac:dyDescent="0.25">
      <c r="A55" s="219">
        <v>21800</v>
      </c>
      <c r="B55" s="221" t="s">
        <v>49</v>
      </c>
      <c r="C55" s="224">
        <v>190095860</v>
      </c>
      <c r="D55" s="224">
        <v>1549392</v>
      </c>
      <c r="E55" s="224">
        <v>814592</v>
      </c>
      <c r="F55" s="224">
        <v>45782845</v>
      </c>
      <c r="G55" s="224">
        <v>921712</v>
      </c>
      <c r="H55" s="224"/>
      <c r="J55" s="224">
        <v>24784619</v>
      </c>
      <c r="K55" s="224">
        <v>5137480</v>
      </c>
      <c r="L55" s="224">
        <v>5286989</v>
      </c>
      <c r="M55" s="224">
        <v>-212187</v>
      </c>
      <c r="N55" s="224">
        <f t="shared" si="0"/>
        <v>5074802</v>
      </c>
      <c r="O55" s="241">
        <f t="shared" si="1"/>
        <v>29922099</v>
      </c>
    </row>
    <row r="56" spans="1:15" ht="13.8" x14ac:dyDescent="0.25">
      <c r="A56" s="219">
        <v>21900</v>
      </c>
      <c r="B56" s="221" t="s">
        <v>50</v>
      </c>
      <c r="C56" s="224">
        <v>84055524</v>
      </c>
      <c r="D56" s="224">
        <v>685102</v>
      </c>
      <c r="E56" s="224">
        <v>360192</v>
      </c>
      <c r="F56" s="224">
        <v>20244002</v>
      </c>
      <c r="G56" s="224">
        <v>0</v>
      </c>
      <c r="H56" s="224"/>
      <c r="J56" s="224">
        <v>10959124</v>
      </c>
      <c r="K56" s="224">
        <v>5675916</v>
      </c>
      <c r="L56" s="224">
        <v>2337772</v>
      </c>
      <c r="M56" s="224">
        <v>-4275639</v>
      </c>
      <c r="N56" s="224">
        <f t="shared" si="0"/>
        <v>-1937867</v>
      </c>
      <c r="O56" s="241">
        <f t="shared" si="1"/>
        <v>16635040</v>
      </c>
    </row>
    <row r="57" spans="1:15" ht="13.8" x14ac:dyDescent="0.25">
      <c r="A57" s="219">
        <v>22000</v>
      </c>
      <c r="B57" s="221" t="s">
        <v>256</v>
      </c>
      <c r="C57" s="224">
        <v>127919489</v>
      </c>
      <c r="D57" s="224">
        <v>1042619</v>
      </c>
      <c r="E57" s="224">
        <v>548156</v>
      </c>
      <c r="F57" s="224">
        <v>30808236</v>
      </c>
      <c r="G57" s="224">
        <v>16805615</v>
      </c>
      <c r="H57" s="224"/>
      <c r="J57" s="224">
        <v>16678089</v>
      </c>
      <c r="K57" s="224">
        <v>0</v>
      </c>
      <c r="L57" s="224">
        <v>3557725</v>
      </c>
      <c r="M57" s="224">
        <v>4558580</v>
      </c>
      <c r="N57" s="224">
        <f t="shared" si="0"/>
        <v>8116305</v>
      </c>
      <c r="O57" s="241">
        <f t="shared" si="1"/>
        <v>16678089</v>
      </c>
    </row>
    <row r="58" spans="1:15" ht="13.8" x14ac:dyDescent="0.25">
      <c r="A58" s="220">
        <v>23000</v>
      </c>
      <c r="B58" s="222" t="s">
        <v>51</v>
      </c>
      <c r="C58" s="225">
        <v>76065256</v>
      </c>
      <c r="D58" s="233">
        <v>619976</v>
      </c>
      <c r="E58" s="233">
        <v>325952</v>
      </c>
      <c r="F58" s="233">
        <v>18319619</v>
      </c>
      <c r="G58" s="233">
        <v>844656</v>
      </c>
      <c r="H58" s="233"/>
      <c r="J58" s="233">
        <v>9917356</v>
      </c>
      <c r="K58" s="233">
        <v>3529365</v>
      </c>
      <c r="L58" s="233">
        <v>2115544</v>
      </c>
      <c r="M58" s="233">
        <v>-1959545</v>
      </c>
      <c r="N58" s="224">
        <f t="shared" si="0"/>
        <v>155999</v>
      </c>
      <c r="O58" s="241">
        <f t="shared" si="1"/>
        <v>13446721</v>
      </c>
    </row>
    <row r="59" spans="1:15" ht="13.8" x14ac:dyDescent="0.25">
      <c r="A59" s="220">
        <v>23100</v>
      </c>
      <c r="B59" s="222" t="s">
        <v>52</v>
      </c>
      <c r="C59" s="225">
        <v>520637030</v>
      </c>
      <c r="D59" s="233">
        <v>4243496</v>
      </c>
      <c r="E59" s="233">
        <v>2231015</v>
      </c>
      <c r="F59" s="233">
        <v>125390656</v>
      </c>
      <c r="G59" s="233">
        <v>7720613</v>
      </c>
      <c r="H59" s="233"/>
      <c r="J59" s="233">
        <v>67880439</v>
      </c>
      <c r="K59" s="233">
        <v>7356286</v>
      </c>
      <c r="L59" s="233">
        <v>14480074</v>
      </c>
      <c r="M59" s="233">
        <v>4249388</v>
      </c>
      <c r="N59" s="224">
        <f t="shared" si="0"/>
        <v>18729462</v>
      </c>
      <c r="O59" s="241">
        <f t="shared" si="1"/>
        <v>75236725</v>
      </c>
    </row>
    <row r="60" spans="1:15" ht="13.8" x14ac:dyDescent="0.25">
      <c r="A60" s="220">
        <v>23200</v>
      </c>
      <c r="B60" s="222" t="s">
        <v>53</v>
      </c>
      <c r="C60" s="225">
        <v>300017846</v>
      </c>
      <c r="D60" s="233">
        <v>2445321</v>
      </c>
      <c r="E60" s="233">
        <v>1285625</v>
      </c>
      <c r="F60" s="233">
        <v>72256549</v>
      </c>
      <c r="G60" s="233">
        <v>11350959</v>
      </c>
      <c r="H60" s="233"/>
      <c r="J60" s="233">
        <v>39116202</v>
      </c>
      <c r="K60" s="233">
        <v>764720</v>
      </c>
      <c r="L60" s="233">
        <v>8344162</v>
      </c>
      <c r="M60" s="233">
        <v>9404927</v>
      </c>
      <c r="N60" s="224">
        <f t="shared" si="0"/>
        <v>17749089</v>
      </c>
      <c r="O60" s="241">
        <f t="shared" si="1"/>
        <v>39880922</v>
      </c>
    </row>
    <row r="61" spans="1:15" ht="13.8" x14ac:dyDescent="0.25">
      <c r="A61" s="220">
        <v>30000</v>
      </c>
      <c r="B61" s="222" t="s">
        <v>257</v>
      </c>
      <c r="C61" s="225">
        <v>27063280</v>
      </c>
      <c r="D61" s="233">
        <v>220582</v>
      </c>
      <c r="E61" s="233">
        <v>115971</v>
      </c>
      <c r="F61" s="233">
        <v>6517943</v>
      </c>
      <c r="G61" s="233">
        <v>1821460</v>
      </c>
      <c r="H61" s="233"/>
      <c r="J61" s="233">
        <v>3528499</v>
      </c>
      <c r="K61" s="233">
        <v>900551</v>
      </c>
      <c r="L61" s="233">
        <v>752690</v>
      </c>
      <c r="M61" s="233">
        <v>-494814</v>
      </c>
      <c r="N61" s="224">
        <f t="shared" si="0"/>
        <v>257876</v>
      </c>
      <c r="O61" s="241">
        <f t="shared" si="1"/>
        <v>4429050</v>
      </c>
    </row>
    <row r="62" spans="1:15" ht="13.8" x14ac:dyDescent="0.25">
      <c r="A62" s="220">
        <v>30100</v>
      </c>
      <c r="B62" s="222" t="s">
        <v>258</v>
      </c>
      <c r="C62" s="225">
        <v>248684522</v>
      </c>
      <c r="D62" s="233">
        <v>2026924</v>
      </c>
      <c r="E62" s="233">
        <v>1065654</v>
      </c>
      <c r="F62" s="233">
        <v>59893387</v>
      </c>
      <c r="G62" s="233">
        <v>7791028</v>
      </c>
      <c r="H62" s="233"/>
      <c r="J62" s="233">
        <v>32423384</v>
      </c>
      <c r="K62" s="233">
        <v>12796255</v>
      </c>
      <c r="L62" s="233">
        <v>6916469</v>
      </c>
      <c r="M62" s="233">
        <v>-1719675</v>
      </c>
      <c r="N62" s="224">
        <f t="shared" si="0"/>
        <v>5196794</v>
      </c>
      <c r="O62" s="241">
        <f t="shared" si="1"/>
        <v>45219639</v>
      </c>
    </row>
    <row r="63" spans="1:15" ht="13.8" x14ac:dyDescent="0.25">
      <c r="A63" s="220">
        <v>30102</v>
      </c>
      <c r="B63" s="222" t="s">
        <v>259</v>
      </c>
      <c r="C63" s="225">
        <v>8279355</v>
      </c>
      <c r="D63" s="233">
        <v>67482</v>
      </c>
      <c r="E63" s="233">
        <v>35478</v>
      </c>
      <c r="F63" s="233">
        <v>1994007</v>
      </c>
      <c r="G63" s="233">
        <v>1859475</v>
      </c>
      <c r="H63" s="233"/>
      <c r="J63" s="233">
        <v>1079459</v>
      </c>
      <c r="K63" s="233">
        <v>0</v>
      </c>
      <c r="L63" s="233">
        <v>230266</v>
      </c>
      <c r="M63" s="233">
        <v>564167</v>
      </c>
      <c r="N63" s="224">
        <f t="shared" si="0"/>
        <v>794433</v>
      </c>
      <c r="O63" s="241">
        <f t="shared" si="1"/>
        <v>1079459</v>
      </c>
    </row>
    <row r="64" spans="1:15" ht="13.8" x14ac:dyDescent="0.25">
      <c r="A64" s="219">
        <v>30103</v>
      </c>
      <c r="B64" s="221" t="s">
        <v>260</v>
      </c>
      <c r="C64" s="224">
        <v>7688747</v>
      </c>
      <c r="D64" s="224">
        <v>62668</v>
      </c>
      <c r="E64" s="224">
        <v>32948</v>
      </c>
      <c r="F64" s="224">
        <v>1851764</v>
      </c>
      <c r="G64" s="224">
        <v>502011</v>
      </c>
      <c r="H64" s="224"/>
      <c r="J64" s="224">
        <v>1002456</v>
      </c>
      <c r="K64" s="224">
        <v>195766</v>
      </c>
      <c r="L64" s="224">
        <v>213840</v>
      </c>
      <c r="M64" s="224">
        <v>216637</v>
      </c>
      <c r="N64" s="224">
        <f t="shared" si="0"/>
        <v>430477</v>
      </c>
      <c r="O64" s="241">
        <f t="shared" si="1"/>
        <v>1198222</v>
      </c>
    </row>
    <row r="65" spans="1:15" ht="13.8" x14ac:dyDescent="0.25">
      <c r="A65" s="219">
        <v>30104</v>
      </c>
      <c r="B65" s="221" t="s">
        <v>261</v>
      </c>
      <c r="C65" s="224">
        <v>4972168</v>
      </c>
      <c r="D65" s="224">
        <v>40526</v>
      </c>
      <c r="E65" s="224">
        <v>21307</v>
      </c>
      <c r="F65" s="224">
        <v>1197501</v>
      </c>
      <c r="G65" s="224">
        <v>730604</v>
      </c>
      <c r="H65" s="224"/>
      <c r="J65" s="224">
        <v>648269</v>
      </c>
      <c r="K65" s="224">
        <v>78490</v>
      </c>
      <c r="L65" s="224">
        <v>138286</v>
      </c>
      <c r="M65" s="224">
        <v>146227</v>
      </c>
      <c r="N65" s="224">
        <f t="shared" si="0"/>
        <v>284513</v>
      </c>
      <c r="O65" s="241">
        <f t="shared" si="1"/>
        <v>726759</v>
      </c>
    </row>
    <row r="66" spans="1:15" ht="13.8" x14ac:dyDescent="0.25">
      <c r="A66" s="219">
        <v>30105</v>
      </c>
      <c r="B66" s="221" t="s">
        <v>54</v>
      </c>
      <c r="C66" s="224">
        <v>24599272</v>
      </c>
      <c r="D66" s="224">
        <v>200498</v>
      </c>
      <c r="E66" s="224">
        <v>105412</v>
      </c>
      <c r="F66" s="224">
        <v>5924509</v>
      </c>
      <c r="G66" s="224">
        <v>1144868</v>
      </c>
      <c r="H66" s="224"/>
      <c r="J66" s="224">
        <v>3207243</v>
      </c>
      <c r="K66" s="224">
        <v>564961</v>
      </c>
      <c r="L66" s="224">
        <v>684159</v>
      </c>
      <c r="M66" s="224">
        <v>-295816</v>
      </c>
      <c r="N66" s="224">
        <f t="shared" si="0"/>
        <v>388343</v>
      </c>
      <c r="O66" s="241">
        <f t="shared" si="1"/>
        <v>3772204</v>
      </c>
    </row>
    <row r="67" spans="1:15" ht="13.8" x14ac:dyDescent="0.25">
      <c r="A67" s="219">
        <v>30200</v>
      </c>
      <c r="B67" s="221" t="s">
        <v>262</v>
      </c>
      <c r="C67" s="224">
        <v>59228884</v>
      </c>
      <c r="D67" s="224">
        <v>482750</v>
      </c>
      <c r="E67" s="224">
        <v>253805</v>
      </c>
      <c r="F67" s="224">
        <v>14264734</v>
      </c>
      <c r="G67" s="224">
        <v>3195300</v>
      </c>
      <c r="H67" s="224"/>
      <c r="J67" s="224">
        <v>7722237</v>
      </c>
      <c r="K67" s="224">
        <v>2055269</v>
      </c>
      <c r="L67" s="224">
        <v>1647286</v>
      </c>
      <c r="M67" s="224">
        <v>8172</v>
      </c>
      <c r="N67" s="224">
        <f t="shared" si="0"/>
        <v>1655458</v>
      </c>
      <c r="O67" s="241">
        <f t="shared" si="1"/>
        <v>9777506</v>
      </c>
    </row>
    <row r="68" spans="1:15" ht="13.8" x14ac:dyDescent="0.25">
      <c r="A68" s="219">
        <v>30300</v>
      </c>
      <c r="B68" s="221" t="s">
        <v>263</v>
      </c>
      <c r="C68" s="224">
        <v>18763841</v>
      </c>
      <c r="D68" s="224">
        <v>152936</v>
      </c>
      <c r="E68" s="224">
        <v>80406</v>
      </c>
      <c r="F68" s="224">
        <v>4519099</v>
      </c>
      <c r="G68" s="224">
        <v>1038084</v>
      </c>
      <c r="H68" s="224"/>
      <c r="J68" s="224">
        <v>2446422</v>
      </c>
      <c r="K68" s="224">
        <v>938598</v>
      </c>
      <c r="L68" s="224">
        <v>521865</v>
      </c>
      <c r="M68" s="224">
        <v>20905</v>
      </c>
      <c r="N68" s="224">
        <f t="shared" si="0"/>
        <v>542770</v>
      </c>
      <c r="O68" s="241">
        <f t="shared" si="1"/>
        <v>3385020</v>
      </c>
    </row>
    <row r="69" spans="1:15" ht="13.8" x14ac:dyDescent="0.25">
      <c r="A69" s="219">
        <v>30400</v>
      </c>
      <c r="B69" s="221" t="s">
        <v>264</v>
      </c>
      <c r="C69" s="224">
        <v>37256642</v>
      </c>
      <c r="D69" s="224">
        <v>303663</v>
      </c>
      <c r="E69" s="224">
        <v>159651</v>
      </c>
      <c r="F69" s="224">
        <v>8972921</v>
      </c>
      <c r="G69" s="224">
        <v>2592943</v>
      </c>
      <c r="H69" s="224"/>
      <c r="J69" s="224">
        <v>4857505</v>
      </c>
      <c r="K69" s="224">
        <v>527028</v>
      </c>
      <c r="L69" s="224">
        <v>1036189</v>
      </c>
      <c r="M69" s="224">
        <v>441558</v>
      </c>
      <c r="N69" s="224">
        <f t="shared" ref="N69:N132" si="2">L69+M69</f>
        <v>1477747</v>
      </c>
      <c r="O69" s="241">
        <f t="shared" ref="O69:O132" si="3">SUM(H69:K69)</f>
        <v>5384533</v>
      </c>
    </row>
    <row r="70" spans="1:15" ht="13.8" x14ac:dyDescent="0.25">
      <c r="A70" s="220">
        <v>30405</v>
      </c>
      <c r="B70" s="222" t="s">
        <v>55</v>
      </c>
      <c r="C70" s="225">
        <v>20619524</v>
      </c>
      <c r="D70" s="233">
        <v>168061</v>
      </c>
      <c r="E70" s="233">
        <v>88358</v>
      </c>
      <c r="F70" s="233">
        <v>4966023</v>
      </c>
      <c r="G70" s="233">
        <v>372244</v>
      </c>
      <c r="H70" s="233"/>
      <c r="J70" s="233">
        <v>2688365</v>
      </c>
      <c r="K70" s="233">
        <v>235694</v>
      </c>
      <c r="L70" s="233">
        <v>573475</v>
      </c>
      <c r="M70" s="233">
        <v>-491748</v>
      </c>
      <c r="N70" s="224">
        <f t="shared" si="2"/>
        <v>81727</v>
      </c>
      <c r="O70" s="241">
        <f t="shared" si="3"/>
        <v>2924059</v>
      </c>
    </row>
    <row r="71" spans="1:15" ht="13.8" x14ac:dyDescent="0.25">
      <c r="A71" s="220">
        <v>30500</v>
      </c>
      <c r="B71" s="222" t="s">
        <v>265</v>
      </c>
      <c r="C71" s="225">
        <v>36604475</v>
      </c>
      <c r="D71" s="233">
        <v>298348</v>
      </c>
      <c r="E71" s="233">
        <v>156856</v>
      </c>
      <c r="F71" s="233">
        <v>8815852</v>
      </c>
      <c r="G71" s="233">
        <v>1669351</v>
      </c>
      <c r="H71" s="233"/>
      <c r="J71" s="233">
        <v>4772476</v>
      </c>
      <c r="K71" s="233">
        <v>1138962</v>
      </c>
      <c r="L71" s="233">
        <v>1018051</v>
      </c>
      <c r="M71" s="233">
        <v>-282395</v>
      </c>
      <c r="N71" s="224">
        <f t="shared" si="2"/>
        <v>735656</v>
      </c>
      <c r="O71" s="241">
        <f t="shared" si="3"/>
        <v>5911438</v>
      </c>
    </row>
    <row r="72" spans="1:15" ht="13.8" x14ac:dyDescent="0.25">
      <c r="A72" s="220">
        <v>30600</v>
      </c>
      <c r="B72" s="222" t="s">
        <v>266</v>
      </c>
      <c r="C72" s="226">
        <v>27785354</v>
      </c>
      <c r="D72" s="226">
        <v>226467</v>
      </c>
      <c r="E72" s="226">
        <v>119065</v>
      </c>
      <c r="F72" s="226">
        <v>6691848</v>
      </c>
      <c r="G72" s="226">
        <v>1130144</v>
      </c>
      <c r="H72" s="226"/>
      <c r="J72" s="226">
        <v>3622643</v>
      </c>
      <c r="K72" s="226">
        <v>443696</v>
      </c>
      <c r="L72" s="226">
        <v>772771</v>
      </c>
      <c r="M72" s="233">
        <v>-224613</v>
      </c>
      <c r="N72" s="224">
        <f t="shared" si="2"/>
        <v>548158</v>
      </c>
      <c r="O72" s="241">
        <f t="shared" si="3"/>
        <v>4066339</v>
      </c>
    </row>
    <row r="73" spans="1:15" ht="13.8" x14ac:dyDescent="0.25">
      <c r="A73" s="220">
        <v>30601</v>
      </c>
      <c r="B73" s="222" t="s">
        <v>267</v>
      </c>
      <c r="C73" s="225">
        <v>0</v>
      </c>
      <c r="D73" s="233">
        <v>0</v>
      </c>
      <c r="E73" s="233">
        <v>0</v>
      </c>
      <c r="F73" s="233">
        <v>0</v>
      </c>
      <c r="G73" s="233">
        <v>58526</v>
      </c>
      <c r="H73" s="233"/>
      <c r="J73" s="233">
        <v>0</v>
      </c>
      <c r="K73" s="233">
        <v>203770</v>
      </c>
      <c r="L73" s="233">
        <v>0</v>
      </c>
      <c r="M73" s="233">
        <v>-147487</v>
      </c>
      <c r="N73" s="224">
        <f t="shared" si="2"/>
        <v>-147487</v>
      </c>
      <c r="O73" s="241">
        <f t="shared" si="3"/>
        <v>203770</v>
      </c>
    </row>
    <row r="74" spans="1:15" ht="13.8" x14ac:dyDescent="0.25">
      <c r="A74" s="220">
        <v>30700</v>
      </c>
      <c r="B74" s="222" t="s">
        <v>268</v>
      </c>
      <c r="C74" s="225">
        <v>71087510</v>
      </c>
      <c r="D74" s="233">
        <v>579405</v>
      </c>
      <c r="E74" s="233">
        <v>304622</v>
      </c>
      <c r="F74" s="233">
        <v>17120775</v>
      </c>
      <c r="G74" s="233">
        <v>4209116</v>
      </c>
      <c r="H74" s="233"/>
      <c r="J74" s="233">
        <v>9268360</v>
      </c>
      <c r="K74" s="233">
        <v>6040927</v>
      </c>
      <c r="L74" s="233">
        <v>1977102</v>
      </c>
      <c r="M74" s="233">
        <v>-710825</v>
      </c>
      <c r="N74" s="224">
        <f t="shared" si="2"/>
        <v>1266277</v>
      </c>
      <c r="O74" s="241">
        <f t="shared" si="3"/>
        <v>15309287</v>
      </c>
    </row>
    <row r="75" spans="1:15" ht="13.8" x14ac:dyDescent="0.25">
      <c r="A75" s="220">
        <v>30705</v>
      </c>
      <c r="B75" s="222" t="s">
        <v>56</v>
      </c>
      <c r="C75" s="225">
        <v>14924391</v>
      </c>
      <c r="D75" s="233">
        <v>121643</v>
      </c>
      <c r="E75" s="233">
        <v>63953</v>
      </c>
      <c r="F75" s="233">
        <v>3594403</v>
      </c>
      <c r="G75" s="233">
        <v>804867</v>
      </c>
      <c r="H75" s="233"/>
      <c r="J75" s="233">
        <v>1945836</v>
      </c>
      <c r="K75" s="233">
        <v>47683</v>
      </c>
      <c r="L75" s="233">
        <v>415079</v>
      </c>
      <c r="M75" s="233">
        <v>184046</v>
      </c>
      <c r="N75" s="224">
        <f t="shared" si="2"/>
        <v>599125</v>
      </c>
      <c r="O75" s="241">
        <f t="shared" si="3"/>
        <v>1993519</v>
      </c>
    </row>
    <row r="76" spans="1:15" ht="13.8" x14ac:dyDescent="0.25">
      <c r="A76" s="219">
        <v>30800</v>
      </c>
      <c r="B76" s="221" t="s">
        <v>269</v>
      </c>
      <c r="C76" s="224">
        <v>20015079</v>
      </c>
      <c r="D76" s="224">
        <v>163135</v>
      </c>
      <c r="E76" s="224">
        <v>85768</v>
      </c>
      <c r="F76" s="224">
        <v>4820448</v>
      </c>
      <c r="G76" s="224">
        <v>18972</v>
      </c>
      <c r="H76" s="224"/>
      <c r="J76" s="224">
        <v>2609558</v>
      </c>
      <c r="K76" s="224">
        <v>1291012</v>
      </c>
      <c r="L76" s="224">
        <v>556664</v>
      </c>
      <c r="M76" s="224">
        <v>-898146</v>
      </c>
      <c r="N76" s="224">
        <f t="shared" si="2"/>
        <v>-341482</v>
      </c>
      <c r="O76" s="241">
        <f t="shared" si="3"/>
        <v>3900570</v>
      </c>
    </row>
    <row r="77" spans="1:15" ht="13.8" x14ac:dyDescent="0.25">
      <c r="A77" s="219">
        <v>30900</v>
      </c>
      <c r="B77" s="221" t="s">
        <v>270</v>
      </c>
      <c r="C77" s="224">
        <v>50981372</v>
      </c>
      <c r="D77" s="224">
        <v>415528</v>
      </c>
      <c r="E77" s="224">
        <v>218463</v>
      </c>
      <c r="F77" s="224">
        <v>12278396</v>
      </c>
      <c r="G77" s="224">
        <v>4780875</v>
      </c>
      <c r="H77" s="224"/>
      <c r="J77" s="224">
        <v>6646930</v>
      </c>
      <c r="K77" s="224">
        <v>1153450</v>
      </c>
      <c r="L77" s="224">
        <v>1417905</v>
      </c>
      <c r="M77" s="224">
        <v>606643</v>
      </c>
      <c r="N77" s="224">
        <f t="shared" si="2"/>
        <v>2024548</v>
      </c>
      <c r="O77" s="241">
        <f t="shared" si="3"/>
        <v>7800380</v>
      </c>
    </row>
    <row r="78" spans="1:15" ht="13.8" x14ac:dyDescent="0.25">
      <c r="A78" s="219">
        <v>30905</v>
      </c>
      <c r="B78" s="221" t="s">
        <v>57</v>
      </c>
      <c r="C78" s="224">
        <v>8097231</v>
      </c>
      <c r="D78" s="224">
        <v>65997</v>
      </c>
      <c r="E78" s="224">
        <v>34698</v>
      </c>
      <c r="F78" s="224">
        <v>1950144</v>
      </c>
      <c r="G78" s="224">
        <v>331772</v>
      </c>
      <c r="H78" s="224"/>
      <c r="J78" s="224">
        <v>1055714</v>
      </c>
      <c r="K78" s="224">
        <v>393818</v>
      </c>
      <c r="L78" s="224">
        <v>225201</v>
      </c>
      <c r="M78" s="224">
        <v>-88003</v>
      </c>
      <c r="N78" s="224">
        <f t="shared" si="2"/>
        <v>137198</v>
      </c>
      <c r="O78" s="241">
        <f t="shared" si="3"/>
        <v>1449532</v>
      </c>
    </row>
    <row r="79" spans="1:15" ht="13.8" x14ac:dyDescent="0.25">
      <c r="A79" s="219">
        <v>31000</v>
      </c>
      <c r="B79" s="221" t="s">
        <v>271</v>
      </c>
      <c r="C79" s="224">
        <v>147432138</v>
      </c>
      <c r="D79" s="224">
        <v>1201658</v>
      </c>
      <c r="E79" s="224">
        <v>631771</v>
      </c>
      <c r="F79" s="224">
        <v>35507679</v>
      </c>
      <c r="G79" s="224">
        <v>4175545</v>
      </c>
      <c r="H79" s="224"/>
      <c r="J79" s="224">
        <v>19222140</v>
      </c>
      <c r="K79" s="224">
        <v>1277770</v>
      </c>
      <c r="L79" s="224">
        <v>4100417</v>
      </c>
      <c r="M79" s="224">
        <v>266460</v>
      </c>
      <c r="N79" s="224">
        <f t="shared" si="2"/>
        <v>4366877</v>
      </c>
      <c r="O79" s="241">
        <f t="shared" si="3"/>
        <v>20499910</v>
      </c>
    </row>
    <row r="80" spans="1:15" ht="13.8" x14ac:dyDescent="0.25">
      <c r="A80" s="219">
        <v>31005</v>
      </c>
      <c r="B80" s="221" t="s">
        <v>58</v>
      </c>
      <c r="C80" s="224">
        <v>13646246</v>
      </c>
      <c r="D80" s="224">
        <v>111225</v>
      </c>
      <c r="E80" s="224">
        <v>58476</v>
      </c>
      <c r="F80" s="224">
        <v>3286573</v>
      </c>
      <c r="G80" s="224">
        <v>709576</v>
      </c>
      <c r="H80" s="224"/>
      <c r="J80" s="224">
        <v>1779192</v>
      </c>
      <c r="K80" s="224">
        <v>98281</v>
      </c>
      <c r="L80" s="224">
        <v>379533</v>
      </c>
      <c r="M80" s="224">
        <v>178837</v>
      </c>
      <c r="N80" s="224">
        <f t="shared" si="2"/>
        <v>558370</v>
      </c>
      <c r="O80" s="241">
        <f t="shared" si="3"/>
        <v>1877473</v>
      </c>
    </row>
    <row r="81" spans="1:15" ht="13.8" x14ac:dyDescent="0.25">
      <c r="A81" s="219">
        <v>31100</v>
      </c>
      <c r="B81" s="221" t="s">
        <v>272</v>
      </c>
      <c r="C81" s="224">
        <v>291238061</v>
      </c>
      <c r="D81" s="224">
        <v>2373760</v>
      </c>
      <c r="E81" s="224">
        <v>1248003</v>
      </c>
      <c r="F81" s="224">
        <v>70142018</v>
      </c>
      <c r="G81" s="224">
        <v>5760279</v>
      </c>
      <c r="H81" s="224"/>
      <c r="J81" s="224">
        <v>37971497</v>
      </c>
      <c r="K81" s="224">
        <v>7396597</v>
      </c>
      <c r="L81" s="224">
        <v>8099976</v>
      </c>
      <c r="M81" s="224">
        <v>-3151023</v>
      </c>
      <c r="N81" s="224">
        <f t="shared" si="2"/>
        <v>4948953</v>
      </c>
      <c r="O81" s="241">
        <f t="shared" si="3"/>
        <v>45368094</v>
      </c>
    </row>
    <row r="82" spans="1:15" ht="13.8" x14ac:dyDescent="0.25">
      <c r="A82" s="219">
        <v>31101</v>
      </c>
      <c r="B82" s="221" t="s">
        <v>451</v>
      </c>
      <c r="C82" s="224">
        <v>2132685</v>
      </c>
      <c r="D82" s="224">
        <v>17383</v>
      </c>
      <c r="E82" s="224">
        <v>9139</v>
      </c>
      <c r="F82" s="224">
        <v>513638</v>
      </c>
      <c r="G82" s="224">
        <v>213224</v>
      </c>
      <c r="H82" s="224"/>
      <c r="J82" s="224">
        <v>278059</v>
      </c>
      <c r="K82" s="224">
        <v>49303</v>
      </c>
      <c r="L82" s="224">
        <v>59314</v>
      </c>
      <c r="M82" s="224">
        <v>8262</v>
      </c>
      <c r="N82" s="224">
        <f t="shared" si="2"/>
        <v>67576</v>
      </c>
      <c r="O82" s="241">
        <f t="shared" si="3"/>
        <v>327362</v>
      </c>
    </row>
    <row r="83" spans="1:15" ht="13.8" x14ac:dyDescent="0.25">
      <c r="A83" s="219">
        <v>31102</v>
      </c>
      <c r="B83" s="221" t="s">
        <v>273</v>
      </c>
      <c r="C83" s="224">
        <v>5432627</v>
      </c>
      <c r="D83" s="224">
        <v>44279</v>
      </c>
      <c r="E83" s="224">
        <v>23280</v>
      </c>
      <c r="F83" s="224">
        <v>1308398</v>
      </c>
      <c r="G83" s="224">
        <v>217270</v>
      </c>
      <c r="H83" s="224"/>
      <c r="J83" s="224">
        <v>708304</v>
      </c>
      <c r="K83" s="224">
        <v>186604</v>
      </c>
      <c r="L83" s="224">
        <v>151094</v>
      </c>
      <c r="M83" s="224">
        <v>-18643</v>
      </c>
      <c r="N83" s="224">
        <f t="shared" si="2"/>
        <v>132451</v>
      </c>
      <c r="O83" s="241">
        <f t="shared" si="3"/>
        <v>894908</v>
      </c>
    </row>
    <row r="84" spans="1:15" ht="13.8" x14ac:dyDescent="0.25">
      <c r="A84" s="219">
        <v>31105</v>
      </c>
      <c r="B84" s="221" t="s">
        <v>59</v>
      </c>
      <c r="C84" s="224">
        <v>43245317</v>
      </c>
      <c r="D84" s="224">
        <v>352475</v>
      </c>
      <c r="E84" s="224">
        <v>185313</v>
      </c>
      <c r="F84" s="224">
        <v>10415238</v>
      </c>
      <c r="G84" s="224">
        <v>344596</v>
      </c>
      <c r="H84" s="224"/>
      <c r="J84" s="224">
        <v>5638306</v>
      </c>
      <c r="K84" s="224">
        <v>703515</v>
      </c>
      <c r="L84" s="224">
        <v>1202749</v>
      </c>
      <c r="M84" s="224">
        <v>-668800</v>
      </c>
      <c r="N84" s="224">
        <f t="shared" si="2"/>
        <v>533949</v>
      </c>
      <c r="O84" s="241">
        <f t="shared" si="3"/>
        <v>6341821</v>
      </c>
    </row>
    <row r="85" spans="1:15" ht="13.8" x14ac:dyDescent="0.25">
      <c r="A85" s="219">
        <v>31110</v>
      </c>
      <c r="B85" s="221" t="s">
        <v>274</v>
      </c>
      <c r="C85" s="224">
        <v>65220923</v>
      </c>
      <c r="D85" s="224">
        <v>531589</v>
      </c>
      <c r="E85" s="224">
        <v>279482</v>
      </c>
      <c r="F85" s="224">
        <v>15707861</v>
      </c>
      <c r="G85" s="224">
        <v>0</v>
      </c>
      <c r="H85" s="224"/>
      <c r="J85" s="224">
        <v>8503477</v>
      </c>
      <c r="K85" s="224">
        <v>4097661</v>
      </c>
      <c r="L85" s="224">
        <v>1813939</v>
      </c>
      <c r="M85" s="224">
        <v>-1293530</v>
      </c>
      <c r="N85" s="224">
        <f t="shared" si="2"/>
        <v>520409</v>
      </c>
      <c r="O85" s="241">
        <f t="shared" si="3"/>
        <v>12601138</v>
      </c>
    </row>
    <row r="86" spans="1:15" ht="13.8" x14ac:dyDescent="0.25">
      <c r="A86" s="219">
        <v>31200</v>
      </c>
      <c r="B86" s="221" t="s">
        <v>275</v>
      </c>
      <c r="C86" s="224">
        <v>129076033</v>
      </c>
      <c r="D86" s="224">
        <v>1052045</v>
      </c>
      <c r="E86" s="224">
        <v>553112</v>
      </c>
      <c r="F86" s="224">
        <v>31086779</v>
      </c>
      <c r="G86" s="224">
        <v>5103168</v>
      </c>
      <c r="H86" s="224"/>
      <c r="J86" s="224">
        <v>16828879</v>
      </c>
      <c r="K86" s="224">
        <v>3119774</v>
      </c>
      <c r="L86" s="224">
        <v>3589890</v>
      </c>
      <c r="M86" s="224">
        <v>-453852</v>
      </c>
      <c r="N86" s="224">
        <f t="shared" si="2"/>
        <v>3136038</v>
      </c>
      <c r="O86" s="241">
        <f t="shared" si="3"/>
        <v>19948653</v>
      </c>
    </row>
    <row r="87" spans="1:15" ht="13.8" x14ac:dyDescent="0.25">
      <c r="A87" s="219">
        <v>31205</v>
      </c>
      <c r="B87" s="221" t="s">
        <v>452</v>
      </c>
      <c r="C87" s="224">
        <v>13617280</v>
      </c>
      <c r="D87" s="224">
        <v>110989</v>
      </c>
      <c r="E87" s="224">
        <v>58352</v>
      </c>
      <c r="F87" s="224">
        <v>3279597</v>
      </c>
      <c r="G87" s="224">
        <v>286423</v>
      </c>
      <c r="H87" s="224"/>
      <c r="J87" s="224">
        <v>1775415</v>
      </c>
      <c r="K87" s="224">
        <v>280856</v>
      </c>
      <c r="L87" s="224">
        <v>378729</v>
      </c>
      <c r="M87" s="224">
        <v>-264229</v>
      </c>
      <c r="N87" s="224">
        <f t="shared" si="2"/>
        <v>114500</v>
      </c>
      <c r="O87" s="241">
        <f t="shared" si="3"/>
        <v>2056271</v>
      </c>
    </row>
    <row r="88" spans="1:15" ht="13.8" x14ac:dyDescent="0.25">
      <c r="A88" s="220">
        <v>31300</v>
      </c>
      <c r="B88" s="222" t="s">
        <v>276</v>
      </c>
      <c r="C88" s="225">
        <v>388514591</v>
      </c>
      <c r="D88" s="233">
        <v>3166621</v>
      </c>
      <c r="E88" s="233">
        <v>1664848</v>
      </c>
      <c r="F88" s="233">
        <v>93570178</v>
      </c>
      <c r="G88" s="226">
        <v>8344182</v>
      </c>
      <c r="H88" s="233"/>
      <c r="J88" s="233">
        <v>50654371</v>
      </c>
      <c r="K88" s="233">
        <v>2953028</v>
      </c>
      <c r="L88" s="233">
        <v>10805455</v>
      </c>
      <c r="M88" s="233">
        <v>1472087</v>
      </c>
      <c r="N88" s="224">
        <f t="shared" si="2"/>
        <v>12277542</v>
      </c>
      <c r="O88" s="241">
        <f t="shared" si="3"/>
        <v>53607399</v>
      </c>
    </row>
    <row r="89" spans="1:15" ht="13.8" x14ac:dyDescent="0.25">
      <c r="A89" s="220">
        <v>31301</v>
      </c>
      <c r="B89" s="222" t="s">
        <v>277</v>
      </c>
      <c r="C89" s="225">
        <v>4971552</v>
      </c>
      <c r="D89" s="233">
        <v>40521</v>
      </c>
      <c r="E89" s="233">
        <v>21304</v>
      </c>
      <c r="F89" s="233">
        <v>1197353</v>
      </c>
      <c r="G89" s="233">
        <v>0</v>
      </c>
      <c r="H89" s="233"/>
      <c r="J89" s="233">
        <v>648189</v>
      </c>
      <c r="K89" s="233">
        <v>1569492</v>
      </c>
      <c r="L89" s="233">
        <v>138272</v>
      </c>
      <c r="M89" s="233">
        <v>-676761</v>
      </c>
      <c r="N89" s="224">
        <f t="shared" si="2"/>
        <v>-538489</v>
      </c>
      <c r="O89" s="241">
        <f t="shared" si="3"/>
        <v>2217681</v>
      </c>
    </row>
    <row r="90" spans="1:15" ht="13.8" x14ac:dyDescent="0.25">
      <c r="A90" s="220">
        <v>31320</v>
      </c>
      <c r="B90" s="222" t="s">
        <v>278</v>
      </c>
      <c r="C90" s="225">
        <v>62310398</v>
      </c>
      <c r="D90" s="233">
        <v>507866</v>
      </c>
      <c r="E90" s="233">
        <v>267010</v>
      </c>
      <c r="F90" s="233">
        <v>15006888</v>
      </c>
      <c r="G90" s="233">
        <v>1625375</v>
      </c>
      <c r="H90" s="233"/>
      <c r="J90" s="233">
        <v>8124004</v>
      </c>
      <c r="K90" s="233">
        <v>2820216</v>
      </c>
      <c r="L90" s="233">
        <v>1732993</v>
      </c>
      <c r="M90" s="233">
        <v>-667305</v>
      </c>
      <c r="N90" s="224">
        <f t="shared" si="2"/>
        <v>1065688</v>
      </c>
      <c r="O90" s="241">
        <f t="shared" si="3"/>
        <v>10944220</v>
      </c>
    </row>
    <row r="91" spans="1:15" ht="13.8" x14ac:dyDescent="0.25">
      <c r="A91" s="220">
        <v>31400</v>
      </c>
      <c r="B91" s="222" t="s">
        <v>279</v>
      </c>
      <c r="C91" s="225">
        <v>126869395</v>
      </c>
      <c r="D91" s="233">
        <v>1034060</v>
      </c>
      <c r="E91" s="233">
        <v>543656</v>
      </c>
      <c r="F91" s="233">
        <v>30555330</v>
      </c>
      <c r="G91" s="233">
        <v>5261006</v>
      </c>
      <c r="H91" s="233"/>
      <c r="J91" s="233">
        <v>16541179</v>
      </c>
      <c r="K91" s="233">
        <v>4987278</v>
      </c>
      <c r="L91" s="233">
        <v>3528520</v>
      </c>
      <c r="M91" s="233">
        <v>-2290136</v>
      </c>
      <c r="N91" s="224">
        <f t="shared" si="2"/>
        <v>1238384</v>
      </c>
      <c r="O91" s="241">
        <f t="shared" si="3"/>
        <v>21528457</v>
      </c>
    </row>
    <row r="92" spans="1:15" ht="13.8" x14ac:dyDescent="0.25">
      <c r="A92" s="220">
        <v>31405</v>
      </c>
      <c r="B92" s="222" t="s">
        <v>61</v>
      </c>
      <c r="C92" s="225">
        <v>27599734</v>
      </c>
      <c r="D92" s="233">
        <v>224954</v>
      </c>
      <c r="E92" s="233">
        <v>118269</v>
      </c>
      <c r="F92" s="233">
        <v>6647143</v>
      </c>
      <c r="G92" s="233">
        <v>2198738</v>
      </c>
      <c r="H92" s="233"/>
      <c r="J92" s="233">
        <v>3598442</v>
      </c>
      <c r="K92" s="233">
        <v>274342</v>
      </c>
      <c r="L92" s="233">
        <v>767610</v>
      </c>
      <c r="M92" s="233">
        <v>175656</v>
      </c>
      <c r="N92" s="224">
        <f t="shared" si="2"/>
        <v>943266</v>
      </c>
      <c r="O92" s="241">
        <f t="shared" si="3"/>
        <v>3872784</v>
      </c>
    </row>
    <row r="93" spans="1:15" ht="13.8" x14ac:dyDescent="0.25">
      <c r="A93" s="220">
        <v>31500</v>
      </c>
      <c r="B93" s="222" t="s">
        <v>280</v>
      </c>
      <c r="C93" s="225">
        <v>25226968</v>
      </c>
      <c r="D93" s="233">
        <v>205615</v>
      </c>
      <c r="E93" s="233">
        <v>108102</v>
      </c>
      <c r="F93" s="233">
        <v>6075684</v>
      </c>
      <c r="G93" s="233">
        <v>2478701</v>
      </c>
      <c r="H93" s="233"/>
      <c r="J93" s="233">
        <v>3289081</v>
      </c>
      <c r="K93" s="233">
        <v>270213</v>
      </c>
      <c r="L93" s="233">
        <v>701617</v>
      </c>
      <c r="M93" s="233">
        <v>859597</v>
      </c>
      <c r="N93" s="224">
        <f t="shared" si="2"/>
        <v>1561214</v>
      </c>
      <c r="O93" s="241">
        <f t="shared" si="3"/>
        <v>3559294</v>
      </c>
    </row>
    <row r="94" spans="1:15" ht="13.8" x14ac:dyDescent="0.25">
      <c r="A94" s="219">
        <v>31600</v>
      </c>
      <c r="B94" s="221" t="s">
        <v>281</v>
      </c>
      <c r="C94" s="224">
        <v>99398657</v>
      </c>
      <c r="D94" s="224">
        <v>810157</v>
      </c>
      <c r="E94" s="224">
        <v>425939</v>
      </c>
      <c r="F94" s="224">
        <v>23939255</v>
      </c>
      <c r="G94" s="224">
        <v>4038376</v>
      </c>
      <c r="H94" s="224"/>
      <c r="J94" s="224">
        <v>12959555</v>
      </c>
      <c r="K94" s="224">
        <v>2964344</v>
      </c>
      <c r="L94" s="224">
        <v>2764496</v>
      </c>
      <c r="M94" s="224">
        <v>344774</v>
      </c>
      <c r="N94" s="224">
        <f t="shared" si="2"/>
        <v>3109270</v>
      </c>
      <c r="O94" s="241">
        <f t="shared" si="3"/>
        <v>15923899</v>
      </c>
    </row>
    <row r="95" spans="1:15" ht="13.8" x14ac:dyDescent="0.25">
      <c r="A95" s="219">
        <v>31605</v>
      </c>
      <c r="B95" s="221" t="s">
        <v>62</v>
      </c>
      <c r="C95" s="224">
        <v>14827125</v>
      </c>
      <c r="D95" s="224">
        <v>120850</v>
      </c>
      <c r="E95" s="224">
        <v>63537</v>
      </c>
      <c r="F95" s="224">
        <v>3570977</v>
      </c>
      <c r="G95" s="224">
        <v>699629</v>
      </c>
      <c r="H95" s="224"/>
      <c r="J95" s="224">
        <v>1933154</v>
      </c>
      <c r="K95" s="224">
        <v>0</v>
      </c>
      <c r="L95" s="224">
        <v>412377</v>
      </c>
      <c r="M95" s="224">
        <v>265643</v>
      </c>
      <c r="N95" s="224">
        <f t="shared" si="2"/>
        <v>678020</v>
      </c>
      <c r="O95" s="241">
        <f t="shared" si="3"/>
        <v>1933154</v>
      </c>
    </row>
    <row r="96" spans="1:15" ht="13.8" x14ac:dyDescent="0.25">
      <c r="A96" s="219">
        <v>31700</v>
      </c>
      <c r="B96" s="221" t="s">
        <v>282</v>
      </c>
      <c r="C96" s="224">
        <v>23435463</v>
      </c>
      <c r="D96" s="224">
        <v>191013</v>
      </c>
      <c r="E96" s="224">
        <v>100425</v>
      </c>
      <c r="F96" s="224">
        <v>5644216</v>
      </c>
      <c r="G96" s="224">
        <v>758397</v>
      </c>
      <c r="H96" s="224"/>
      <c r="J96" s="224">
        <v>3055506</v>
      </c>
      <c r="K96" s="224">
        <v>2942826</v>
      </c>
      <c r="L96" s="224">
        <v>651791</v>
      </c>
      <c r="M96" s="224">
        <v>-1292390</v>
      </c>
      <c r="N96" s="224">
        <f t="shared" si="2"/>
        <v>-640599</v>
      </c>
      <c r="O96" s="241">
        <f t="shared" si="3"/>
        <v>5998332</v>
      </c>
    </row>
    <row r="97" spans="1:15" ht="13.8" x14ac:dyDescent="0.25">
      <c r="A97" s="219">
        <v>31800</v>
      </c>
      <c r="B97" s="221" t="s">
        <v>283</v>
      </c>
      <c r="C97" s="224">
        <v>180752969</v>
      </c>
      <c r="D97" s="224">
        <v>1473242</v>
      </c>
      <c r="E97" s="224">
        <v>774556</v>
      </c>
      <c r="F97" s="224">
        <v>43532695</v>
      </c>
      <c r="G97" s="224">
        <v>10681306</v>
      </c>
      <c r="H97" s="224"/>
      <c r="J97" s="224">
        <v>23566497</v>
      </c>
      <c r="K97" s="224">
        <v>3627818</v>
      </c>
      <c r="L97" s="224">
        <v>5027143</v>
      </c>
      <c r="M97" s="224">
        <v>1601836</v>
      </c>
      <c r="N97" s="224">
        <f t="shared" si="2"/>
        <v>6628979</v>
      </c>
      <c r="O97" s="241">
        <f t="shared" si="3"/>
        <v>27194315</v>
      </c>
    </row>
    <row r="98" spans="1:15" ht="13.8" x14ac:dyDescent="0.25">
      <c r="A98" s="219">
        <v>31805</v>
      </c>
      <c r="B98" s="221" t="s">
        <v>63</v>
      </c>
      <c r="C98" s="224">
        <v>34390592</v>
      </c>
      <c r="D98" s="224">
        <v>280303</v>
      </c>
      <c r="E98" s="224">
        <v>147369</v>
      </c>
      <c r="F98" s="224">
        <v>8282659</v>
      </c>
      <c r="G98" s="224">
        <v>2046654</v>
      </c>
      <c r="H98" s="224"/>
      <c r="J98" s="224">
        <v>4483831</v>
      </c>
      <c r="K98" s="224">
        <v>2790776</v>
      </c>
      <c r="L98" s="224">
        <v>956479</v>
      </c>
      <c r="M98" s="224">
        <v>298611</v>
      </c>
      <c r="N98" s="224">
        <f t="shared" si="2"/>
        <v>1255090</v>
      </c>
      <c r="O98" s="241">
        <f t="shared" si="3"/>
        <v>7274607</v>
      </c>
    </row>
    <row r="99" spans="1:15" ht="13.8" x14ac:dyDescent="0.25">
      <c r="A99" s="219">
        <v>31810</v>
      </c>
      <c r="B99" s="221" t="s">
        <v>284</v>
      </c>
      <c r="C99" s="224">
        <v>38959285</v>
      </c>
      <c r="D99" s="224">
        <v>317541</v>
      </c>
      <c r="E99" s="224">
        <v>166947</v>
      </c>
      <c r="F99" s="224">
        <v>9382987</v>
      </c>
      <c r="G99" s="224">
        <v>162790</v>
      </c>
      <c r="H99" s="224"/>
      <c r="J99" s="224">
        <v>5079495</v>
      </c>
      <c r="K99" s="224">
        <v>2034366</v>
      </c>
      <c r="L99" s="224">
        <v>1083543</v>
      </c>
      <c r="M99" s="224">
        <v>-1489578</v>
      </c>
      <c r="N99" s="224">
        <f t="shared" si="2"/>
        <v>-406035</v>
      </c>
      <c r="O99" s="241">
        <f t="shared" si="3"/>
        <v>7113861</v>
      </c>
    </row>
    <row r="100" spans="1:15" ht="13.8" x14ac:dyDescent="0.25">
      <c r="A100" s="220">
        <v>31820</v>
      </c>
      <c r="B100" s="222" t="s">
        <v>285</v>
      </c>
      <c r="C100" s="225">
        <v>33034711</v>
      </c>
      <c r="D100" s="233">
        <v>269252</v>
      </c>
      <c r="E100" s="233">
        <v>141559</v>
      </c>
      <c r="F100" s="233">
        <v>7956107</v>
      </c>
      <c r="G100" s="233">
        <v>0</v>
      </c>
      <c r="H100" s="233"/>
      <c r="J100" s="233">
        <v>4307052</v>
      </c>
      <c r="K100" s="233">
        <v>1942203</v>
      </c>
      <c r="L100" s="233">
        <v>918768</v>
      </c>
      <c r="M100" s="233">
        <v>-1328862</v>
      </c>
      <c r="N100" s="224">
        <f t="shared" si="2"/>
        <v>-410094</v>
      </c>
      <c r="O100" s="241">
        <f t="shared" si="3"/>
        <v>6249255</v>
      </c>
    </row>
    <row r="101" spans="1:15" ht="13.8" x14ac:dyDescent="0.25">
      <c r="A101" s="220">
        <v>31900</v>
      </c>
      <c r="B101" s="222" t="s">
        <v>286</v>
      </c>
      <c r="C101" s="225">
        <v>108465700</v>
      </c>
      <c r="D101" s="233">
        <v>884059</v>
      </c>
      <c r="E101" s="233">
        <v>464793</v>
      </c>
      <c r="F101" s="233">
        <v>26122969</v>
      </c>
      <c r="G101" s="233">
        <v>1967564</v>
      </c>
      <c r="H101" s="233"/>
      <c r="J101" s="233">
        <v>14141713</v>
      </c>
      <c r="K101" s="233">
        <v>3766908</v>
      </c>
      <c r="L101" s="233">
        <v>3016673</v>
      </c>
      <c r="M101" s="233">
        <v>-434251</v>
      </c>
      <c r="N101" s="224">
        <f t="shared" si="2"/>
        <v>2582422</v>
      </c>
      <c r="O101" s="241">
        <f t="shared" si="3"/>
        <v>17908621</v>
      </c>
    </row>
    <row r="102" spans="1:15" ht="13.8" x14ac:dyDescent="0.25">
      <c r="A102" s="220">
        <v>32000</v>
      </c>
      <c r="B102" s="222" t="s">
        <v>287</v>
      </c>
      <c r="C102" s="225">
        <v>39474542</v>
      </c>
      <c r="D102" s="233">
        <v>321741</v>
      </c>
      <c r="E102" s="233">
        <v>169155</v>
      </c>
      <c r="F102" s="233">
        <v>9507082</v>
      </c>
      <c r="G102" s="233">
        <v>209924</v>
      </c>
      <c r="H102" s="233"/>
      <c r="J102" s="233">
        <v>5146674</v>
      </c>
      <c r="K102" s="233">
        <v>2247623</v>
      </c>
      <c r="L102" s="233">
        <v>1097877</v>
      </c>
      <c r="M102" s="233">
        <v>-895076</v>
      </c>
      <c r="N102" s="224">
        <f t="shared" si="2"/>
        <v>202801</v>
      </c>
      <c r="O102" s="241">
        <f t="shared" si="3"/>
        <v>7394297</v>
      </c>
    </row>
    <row r="103" spans="1:15" ht="13.8" x14ac:dyDescent="0.25">
      <c r="A103" s="220">
        <v>32005</v>
      </c>
      <c r="B103" s="222" t="s">
        <v>64</v>
      </c>
      <c r="C103" s="225">
        <v>11239232</v>
      </c>
      <c r="D103" s="233">
        <v>91606</v>
      </c>
      <c r="E103" s="233">
        <v>48162</v>
      </c>
      <c r="F103" s="233">
        <v>2706866</v>
      </c>
      <c r="G103" s="233">
        <v>1149879</v>
      </c>
      <c r="H103" s="233"/>
      <c r="J103" s="233">
        <v>1465366</v>
      </c>
      <c r="K103" s="233">
        <v>75957</v>
      </c>
      <c r="L103" s="233">
        <v>312589</v>
      </c>
      <c r="M103" s="233">
        <v>316674</v>
      </c>
      <c r="N103" s="224">
        <f t="shared" si="2"/>
        <v>629263</v>
      </c>
      <c r="O103" s="241">
        <f t="shared" si="3"/>
        <v>1541323</v>
      </c>
    </row>
    <row r="104" spans="1:15" ht="13.8" x14ac:dyDescent="0.25">
      <c r="A104" s="220">
        <v>32100</v>
      </c>
      <c r="B104" s="222" t="s">
        <v>288</v>
      </c>
      <c r="C104" s="225">
        <v>22349088</v>
      </c>
      <c r="D104" s="233">
        <v>182158</v>
      </c>
      <c r="E104" s="233">
        <v>95769</v>
      </c>
      <c r="F104" s="233">
        <v>5382573</v>
      </c>
      <c r="G104" s="233">
        <v>1360907</v>
      </c>
      <c r="H104" s="233"/>
      <c r="J104" s="233">
        <v>2913865</v>
      </c>
      <c r="K104" s="233">
        <v>2523569</v>
      </c>
      <c r="L104" s="233">
        <v>621579</v>
      </c>
      <c r="M104" s="233">
        <v>-470885</v>
      </c>
      <c r="N104" s="224">
        <f t="shared" si="2"/>
        <v>150694</v>
      </c>
      <c r="O104" s="241">
        <f t="shared" si="3"/>
        <v>5437434</v>
      </c>
    </row>
    <row r="105" spans="1:15" ht="13.8" x14ac:dyDescent="0.25">
      <c r="A105" s="220">
        <v>32200</v>
      </c>
      <c r="B105" s="222" t="s">
        <v>289</v>
      </c>
      <c r="C105" s="225">
        <v>18138404</v>
      </c>
      <c r="D105" s="233">
        <v>147839</v>
      </c>
      <c r="E105" s="233">
        <v>77726</v>
      </c>
      <c r="F105" s="233">
        <v>4368468</v>
      </c>
      <c r="G105" s="233">
        <v>1248647</v>
      </c>
      <c r="H105" s="233"/>
      <c r="J105" s="233">
        <v>2364878</v>
      </c>
      <c r="K105" s="233">
        <v>321508</v>
      </c>
      <c r="L105" s="233">
        <v>504469</v>
      </c>
      <c r="M105" s="233">
        <v>244861</v>
      </c>
      <c r="N105" s="224">
        <f t="shared" si="2"/>
        <v>749330</v>
      </c>
      <c r="O105" s="241">
        <f t="shared" si="3"/>
        <v>2686386</v>
      </c>
    </row>
    <row r="106" spans="1:15" ht="13.8" x14ac:dyDescent="0.25">
      <c r="A106" s="219">
        <v>32300</v>
      </c>
      <c r="B106" s="221" t="s">
        <v>290</v>
      </c>
      <c r="C106" s="224">
        <v>172014087</v>
      </c>
      <c r="D106" s="224">
        <v>1402015</v>
      </c>
      <c r="E106" s="224">
        <v>737108</v>
      </c>
      <c r="F106" s="224">
        <v>41428016</v>
      </c>
      <c r="G106" s="224">
        <v>5916738</v>
      </c>
      <c r="H106" s="224"/>
      <c r="J106" s="224">
        <v>22427125</v>
      </c>
      <c r="K106" s="224">
        <v>3642409</v>
      </c>
      <c r="L106" s="224">
        <v>4784094</v>
      </c>
      <c r="M106" s="224">
        <v>-2416723</v>
      </c>
      <c r="N106" s="224">
        <f t="shared" si="2"/>
        <v>2367371</v>
      </c>
      <c r="O106" s="241">
        <f t="shared" si="3"/>
        <v>26069534</v>
      </c>
    </row>
    <row r="107" spans="1:15" ht="13.8" x14ac:dyDescent="0.25">
      <c r="A107" s="219">
        <v>32305</v>
      </c>
      <c r="B107" s="221" t="s">
        <v>480</v>
      </c>
      <c r="C107" s="224">
        <v>21095850</v>
      </c>
      <c r="D107" s="224">
        <v>171943</v>
      </c>
      <c r="E107" s="224">
        <v>90399</v>
      </c>
      <c r="F107" s="224">
        <v>5080742</v>
      </c>
      <c r="G107" s="224">
        <v>2167049</v>
      </c>
      <c r="H107" s="224"/>
      <c r="J107" s="224">
        <v>2750468</v>
      </c>
      <c r="K107" s="224">
        <v>236613</v>
      </c>
      <c r="L107" s="224">
        <v>586724</v>
      </c>
      <c r="M107" s="224">
        <v>670893</v>
      </c>
      <c r="N107" s="224">
        <f t="shared" si="2"/>
        <v>1257617</v>
      </c>
      <c r="O107" s="241">
        <f t="shared" si="3"/>
        <v>2987081</v>
      </c>
    </row>
    <row r="108" spans="1:15" ht="13.8" x14ac:dyDescent="0.25">
      <c r="A108" s="219">
        <v>32400</v>
      </c>
      <c r="B108" s="221" t="s">
        <v>291</v>
      </c>
      <c r="C108" s="224">
        <v>60839074</v>
      </c>
      <c r="D108" s="224">
        <v>495874</v>
      </c>
      <c r="E108" s="224">
        <v>260705</v>
      </c>
      <c r="F108" s="224">
        <v>14652533</v>
      </c>
      <c r="G108" s="224">
        <v>3213408</v>
      </c>
      <c r="H108" s="224"/>
      <c r="J108" s="224">
        <v>7932173</v>
      </c>
      <c r="K108" s="224">
        <v>1529361</v>
      </c>
      <c r="L108" s="224">
        <v>1692070</v>
      </c>
      <c r="M108" s="224">
        <v>-541455</v>
      </c>
      <c r="N108" s="224">
        <f t="shared" si="2"/>
        <v>1150615</v>
      </c>
      <c r="O108" s="241">
        <f t="shared" si="3"/>
        <v>9461534</v>
      </c>
    </row>
    <row r="109" spans="1:15" ht="13.8" x14ac:dyDescent="0.25">
      <c r="A109" s="219">
        <v>32405</v>
      </c>
      <c r="B109" s="221" t="s">
        <v>66</v>
      </c>
      <c r="C109" s="224">
        <v>14452014</v>
      </c>
      <c r="D109" s="224">
        <v>117792</v>
      </c>
      <c r="E109" s="224">
        <v>61929</v>
      </c>
      <c r="F109" s="224">
        <v>3480635</v>
      </c>
      <c r="G109" s="224">
        <v>451208</v>
      </c>
      <c r="H109" s="224"/>
      <c r="J109" s="224">
        <v>1884248</v>
      </c>
      <c r="K109" s="224">
        <v>737738</v>
      </c>
      <c r="L109" s="224">
        <v>401942</v>
      </c>
      <c r="M109" s="224">
        <v>-382463</v>
      </c>
      <c r="N109" s="224">
        <f t="shared" si="2"/>
        <v>19479</v>
      </c>
      <c r="O109" s="241">
        <f t="shared" si="3"/>
        <v>2621986</v>
      </c>
    </row>
    <row r="110" spans="1:15" ht="13.8" x14ac:dyDescent="0.25">
      <c r="A110" s="219">
        <v>32410</v>
      </c>
      <c r="B110" s="221" t="s">
        <v>292</v>
      </c>
      <c r="C110" s="224">
        <v>26554125</v>
      </c>
      <c r="D110" s="224">
        <v>216432</v>
      </c>
      <c r="E110" s="224">
        <v>113789</v>
      </c>
      <c r="F110" s="224">
        <v>6395318</v>
      </c>
      <c r="G110" s="224">
        <v>1699455</v>
      </c>
      <c r="H110" s="224"/>
      <c r="J110" s="224">
        <v>3462116</v>
      </c>
      <c r="K110" s="224">
        <v>943758</v>
      </c>
      <c r="L110" s="224">
        <v>738529</v>
      </c>
      <c r="M110" s="224">
        <v>484437</v>
      </c>
      <c r="N110" s="224">
        <f t="shared" si="2"/>
        <v>1222966</v>
      </c>
      <c r="O110" s="241">
        <f t="shared" si="3"/>
        <v>4405874</v>
      </c>
    </row>
    <row r="111" spans="1:15" ht="13.8" x14ac:dyDescent="0.25">
      <c r="A111" s="219">
        <v>32500</v>
      </c>
      <c r="B111" s="221" t="s">
        <v>481</v>
      </c>
      <c r="C111" s="224">
        <v>131626875</v>
      </c>
      <c r="D111" s="224">
        <v>1072836</v>
      </c>
      <c r="E111" s="224">
        <v>564043</v>
      </c>
      <c r="F111" s="224">
        <v>31701126</v>
      </c>
      <c r="G111" s="224">
        <v>286314</v>
      </c>
      <c r="H111" s="224"/>
      <c r="J111" s="224">
        <v>17161457</v>
      </c>
      <c r="K111" s="224">
        <v>6963254</v>
      </c>
      <c r="L111" s="224">
        <v>3660837</v>
      </c>
      <c r="M111" s="224">
        <v>-2121641</v>
      </c>
      <c r="N111" s="224">
        <f t="shared" si="2"/>
        <v>1539196</v>
      </c>
      <c r="O111" s="241">
        <f t="shared" si="3"/>
        <v>24124711</v>
      </c>
    </row>
    <row r="112" spans="1:15" ht="13.8" x14ac:dyDescent="0.25">
      <c r="A112" s="220">
        <v>32505</v>
      </c>
      <c r="B112" s="222" t="s">
        <v>67</v>
      </c>
      <c r="C112" s="225">
        <v>22670102</v>
      </c>
      <c r="D112" s="233">
        <v>184775</v>
      </c>
      <c r="E112" s="233">
        <v>97145</v>
      </c>
      <c r="F112" s="233">
        <v>5459886</v>
      </c>
      <c r="G112" s="233">
        <v>1232290</v>
      </c>
      <c r="H112" s="233"/>
      <c r="J112" s="233">
        <v>2955718</v>
      </c>
      <c r="K112" s="233">
        <v>80695</v>
      </c>
      <c r="L112" s="233">
        <v>630505</v>
      </c>
      <c r="M112" s="233">
        <v>2205</v>
      </c>
      <c r="N112" s="224">
        <f t="shared" si="2"/>
        <v>632710</v>
      </c>
      <c r="O112" s="241">
        <f t="shared" si="3"/>
        <v>3036413</v>
      </c>
    </row>
    <row r="113" spans="1:15" ht="13.8" x14ac:dyDescent="0.25">
      <c r="A113" s="220">
        <v>32600</v>
      </c>
      <c r="B113" s="222" t="s">
        <v>293</v>
      </c>
      <c r="C113" s="225">
        <v>481054650</v>
      </c>
      <c r="D113" s="233">
        <v>3920876</v>
      </c>
      <c r="E113" s="233">
        <v>2061398</v>
      </c>
      <c r="F113" s="233">
        <v>115857603</v>
      </c>
      <c r="G113" s="233">
        <v>16368058</v>
      </c>
      <c r="H113" s="233"/>
      <c r="J113" s="233">
        <v>62719705</v>
      </c>
      <c r="K113" s="233">
        <v>42239280</v>
      </c>
      <c r="L113" s="233">
        <v>13379199</v>
      </c>
      <c r="M113" s="233">
        <v>-6369523</v>
      </c>
      <c r="N113" s="224">
        <f t="shared" si="2"/>
        <v>7009676</v>
      </c>
      <c r="O113" s="241">
        <f t="shared" si="3"/>
        <v>104958985</v>
      </c>
    </row>
    <row r="114" spans="1:15" ht="13.8" x14ac:dyDescent="0.25">
      <c r="A114" s="220">
        <v>32605</v>
      </c>
      <c r="B114" s="222" t="s">
        <v>68</v>
      </c>
      <c r="C114" s="225">
        <v>88979935</v>
      </c>
      <c r="D114" s="233">
        <v>725238</v>
      </c>
      <c r="E114" s="233">
        <v>381294</v>
      </c>
      <c r="F114" s="233">
        <v>21430001</v>
      </c>
      <c r="G114" s="233">
        <v>7604369</v>
      </c>
      <c r="H114" s="233"/>
      <c r="J114" s="233">
        <v>11601167</v>
      </c>
      <c r="K114" s="233">
        <v>270476</v>
      </c>
      <c r="L114" s="233">
        <v>2474731</v>
      </c>
      <c r="M114" s="233">
        <v>2976721</v>
      </c>
      <c r="N114" s="224">
        <f t="shared" si="2"/>
        <v>5451452</v>
      </c>
      <c r="O114" s="241">
        <f t="shared" si="3"/>
        <v>11871643</v>
      </c>
    </row>
    <row r="115" spans="1:15" ht="13.8" x14ac:dyDescent="0.25">
      <c r="A115" s="220">
        <v>32700</v>
      </c>
      <c r="B115" s="222" t="s">
        <v>294</v>
      </c>
      <c r="C115" s="225">
        <v>47694457</v>
      </c>
      <c r="D115" s="233">
        <v>388738</v>
      </c>
      <c r="E115" s="233">
        <v>204379</v>
      </c>
      <c r="F115" s="233">
        <v>11486773</v>
      </c>
      <c r="G115" s="233">
        <v>981443</v>
      </c>
      <c r="H115" s="233"/>
      <c r="J115" s="233">
        <v>6218383</v>
      </c>
      <c r="K115" s="233">
        <v>848697</v>
      </c>
      <c r="L115" s="233">
        <v>1326489</v>
      </c>
      <c r="M115" s="233">
        <v>111968</v>
      </c>
      <c r="N115" s="224">
        <f t="shared" si="2"/>
        <v>1438457</v>
      </c>
      <c r="O115" s="241">
        <f t="shared" si="3"/>
        <v>7067080</v>
      </c>
    </row>
    <row r="116" spans="1:15" ht="13.8" x14ac:dyDescent="0.25">
      <c r="A116" s="220">
        <v>32800</v>
      </c>
      <c r="B116" s="222" t="s">
        <v>295</v>
      </c>
      <c r="C116" s="225">
        <v>65148224</v>
      </c>
      <c r="D116" s="233">
        <v>530996</v>
      </c>
      <c r="E116" s="233">
        <v>279171</v>
      </c>
      <c r="F116" s="233">
        <v>15690352</v>
      </c>
      <c r="G116" s="233">
        <v>1414877</v>
      </c>
      <c r="H116" s="233"/>
      <c r="J116" s="233">
        <v>8493998</v>
      </c>
      <c r="K116" s="233">
        <v>2897326</v>
      </c>
      <c r="L116" s="233">
        <v>1811918</v>
      </c>
      <c r="M116" s="233">
        <v>-58500</v>
      </c>
      <c r="N116" s="224">
        <f t="shared" si="2"/>
        <v>1753418</v>
      </c>
      <c r="O116" s="241">
        <f t="shared" si="3"/>
        <v>11391324</v>
      </c>
    </row>
    <row r="117" spans="1:15" ht="13.8" x14ac:dyDescent="0.25">
      <c r="A117" s="220">
        <v>32900</v>
      </c>
      <c r="B117" s="223" t="s">
        <v>296</v>
      </c>
      <c r="C117" s="225">
        <v>189186282</v>
      </c>
      <c r="D117" s="233">
        <v>1541979</v>
      </c>
      <c r="E117" s="233">
        <v>810694</v>
      </c>
      <c r="F117" s="233">
        <v>45563781</v>
      </c>
      <c r="G117" s="233">
        <v>5976716</v>
      </c>
      <c r="H117" s="233"/>
      <c r="J117" s="233">
        <v>24666028</v>
      </c>
      <c r="K117" s="233">
        <v>4682308</v>
      </c>
      <c r="L117" s="233">
        <v>5261692</v>
      </c>
      <c r="M117" s="233">
        <v>-2102893</v>
      </c>
      <c r="N117" s="224">
        <f t="shared" si="2"/>
        <v>3158799</v>
      </c>
      <c r="O117" s="241">
        <f t="shared" si="3"/>
        <v>29348336</v>
      </c>
    </row>
    <row r="118" spans="1:15" ht="13.8" x14ac:dyDescent="0.25">
      <c r="A118" s="219">
        <v>32901</v>
      </c>
      <c r="B118" s="221" t="s">
        <v>422</v>
      </c>
      <c r="C118" s="224">
        <v>657885</v>
      </c>
      <c r="D118" s="224">
        <v>5362</v>
      </c>
      <c r="E118" s="224">
        <v>2819</v>
      </c>
      <c r="F118" s="224">
        <v>158446</v>
      </c>
      <c r="G118" s="224">
        <v>75993</v>
      </c>
      <c r="H118" s="224"/>
      <c r="J118" s="224">
        <v>85775</v>
      </c>
      <c r="K118" s="224">
        <v>2491346</v>
      </c>
      <c r="L118" s="224">
        <v>18298</v>
      </c>
      <c r="M118" s="224">
        <v>-902941</v>
      </c>
      <c r="N118" s="224">
        <f t="shared" si="2"/>
        <v>-884643</v>
      </c>
      <c r="O118" s="241">
        <f t="shared" si="3"/>
        <v>2577121</v>
      </c>
    </row>
    <row r="119" spans="1:15" ht="13.8" x14ac:dyDescent="0.25">
      <c r="A119" s="219">
        <v>32904</v>
      </c>
      <c r="B119" s="221" t="s">
        <v>465</v>
      </c>
      <c r="C119" s="224">
        <v>3154185</v>
      </c>
      <c r="D119" s="224">
        <v>25708</v>
      </c>
      <c r="E119" s="224">
        <v>13516</v>
      </c>
      <c r="F119" s="224">
        <v>759656</v>
      </c>
      <c r="G119" s="224">
        <v>1366428</v>
      </c>
      <c r="H119" s="224"/>
      <c r="J119" s="224">
        <v>411241</v>
      </c>
      <c r="K119" s="224">
        <v>0</v>
      </c>
      <c r="L119" s="224">
        <v>87724</v>
      </c>
      <c r="M119" s="224">
        <v>618592</v>
      </c>
      <c r="N119" s="224">
        <f t="shared" si="2"/>
        <v>706316</v>
      </c>
      <c r="O119" s="241">
        <f t="shared" si="3"/>
        <v>411241</v>
      </c>
    </row>
    <row r="120" spans="1:15" ht="13.8" x14ac:dyDescent="0.25">
      <c r="A120" s="219">
        <v>32905</v>
      </c>
      <c r="B120" s="221" t="s">
        <v>69</v>
      </c>
      <c r="C120" s="224">
        <v>26775704</v>
      </c>
      <c r="D120" s="224">
        <v>218238</v>
      </c>
      <c r="E120" s="224">
        <v>114738</v>
      </c>
      <c r="F120" s="224">
        <v>6448683</v>
      </c>
      <c r="G120" s="224">
        <v>845065</v>
      </c>
      <c r="H120" s="224"/>
      <c r="J120" s="224">
        <v>3491005</v>
      </c>
      <c r="K120" s="224">
        <v>0</v>
      </c>
      <c r="L120" s="224">
        <v>744693</v>
      </c>
      <c r="M120" s="224">
        <v>-77214</v>
      </c>
      <c r="N120" s="224">
        <f t="shared" si="2"/>
        <v>667479</v>
      </c>
      <c r="O120" s="241">
        <f t="shared" si="3"/>
        <v>3491005</v>
      </c>
    </row>
    <row r="121" spans="1:15" ht="13.8" x14ac:dyDescent="0.25">
      <c r="A121" s="219">
        <v>32910</v>
      </c>
      <c r="B121" s="221" t="s">
        <v>297</v>
      </c>
      <c r="C121" s="224">
        <v>30542503</v>
      </c>
      <c r="D121" s="224">
        <v>248939</v>
      </c>
      <c r="E121" s="224">
        <v>130880</v>
      </c>
      <c r="F121" s="224">
        <v>7355882</v>
      </c>
      <c r="G121" s="224">
        <v>565400</v>
      </c>
      <c r="H121" s="224"/>
      <c r="J121" s="224">
        <v>3982119</v>
      </c>
      <c r="K121" s="224">
        <v>3440716</v>
      </c>
      <c r="L121" s="224">
        <v>849454</v>
      </c>
      <c r="M121" s="224">
        <v>-982575</v>
      </c>
      <c r="N121" s="224">
        <f t="shared" si="2"/>
        <v>-133121</v>
      </c>
      <c r="O121" s="241">
        <f t="shared" si="3"/>
        <v>7422835</v>
      </c>
    </row>
    <row r="122" spans="1:15" ht="13.8" x14ac:dyDescent="0.25">
      <c r="A122" s="219">
        <v>32915</v>
      </c>
      <c r="B122" s="221" t="s">
        <v>799</v>
      </c>
      <c r="C122" s="224">
        <v>4685370</v>
      </c>
      <c r="D122" s="224">
        <v>38189</v>
      </c>
      <c r="E122" s="224">
        <v>20078</v>
      </c>
      <c r="F122" s="224">
        <v>1128428</v>
      </c>
      <c r="G122" s="224">
        <v>2222539</v>
      </c>
      <c r="H122" s="224"/>
      <c r="J122" s="224">
        <v>610877</v>
      </c>
      <c r="K122" s="224">
        <v>0</v>
      </c>
      <c r="L122" s="224">
        <v>130312</v>
      </c>
      <c r="M122" s="224">
        <v>891398</v>
      </c>
      <c r="N122" s="224">
        <f t="shared" si="2"/>
        <v>1021710</v>
      </c>
      <c r="O122" s="241">
        <f t="shared" si="3"/>
        <v>610877</v>
      </c>
    </row>
    <row r="123" spans="1:15" ht="13.8" x14ac:dyDescent="0.25">
      <c r="A123" s="219">
        <v>32920</v>
      </c>
      <c r="B123" s="221" t="s">
        <v>298</v>
      </c>
      <c r="C123" s="224">
        <v>24206655</v>
      </c>
      <c r="D123" s="224">
        <v>197298</v>
      </c>
      <c r="E123" s="224">
        <v>103729</v>
      </c>
      <c r="F123" s="224">
        <v>5829951</v>
      </c>
      <c r="G123" s="224">
        <v>90006</v>
      </c>
      <c r="H123" s="224"/>
      <c r="J123" s="224">
        <v>3156054</v>
      </c>
      <c r="K123" s="224">
        <v>3830708</v>
      </c>
      <c r="L123" s="224">
        <v>673241</v>
      </c>
      <c r="M123" s="224">
        <v>-1447214</v>
      </c>
      <c r="N123" s="224">
        <f t="shared" si="2"/>
        <v>-773973</v>
      </c>
      <c r="O123" s="241">
        <f t="shared" si="3"/>
        <v>6986762</v>
      </c>
    </row>
    <row r="124" spans="1:15" ht="13.8" x14ac:dyDescent="0.25">
      <c r="A124" s="220">
        <v>33000</v>
      </c>
      <c r="B124" s="223" t="s">
        <v>299</v>
      </c>
      <c r="C124" s="225">
        <v>72891405</v>
      </c>
      <c r="D124" s="233">
        <v>594108</v>
      </c>
      <c r="E124" s="233">
        <v>312352</v>
      </c>
      <c r="F124" s="233">
        <v>17555226</v>
      </c>
      <c r="G124" s="233">
        <v>2990281</v>
      </c>
      <c r="H124" s="233"/>
      <c r="J124" s="233">
        <v>9503551</v>
      </c>
      <c r="K124" s="233">
        <v>2391552</v>
      </c>
      <c r="L124" s="233">
        <v>2027273</v>
      </c>
      <c r="M124" s="233">
        <v>-623565</v>
      </c>
      <c r="N124" s="224">
        <f t="shared" si="2"/>
        <v>1403708</v>
      </c>
      <c r="O124" s="241">
        <f t="shared" si="3"/>
        <v>11895103</v>
      </c>
    </row>
    <row r="125" spans="1:15" ht="13.8" x14ac:dyDescent="0.25">
      <c r="A125" s="220">
        <v>33001</v>
      </c>
      <c r="B125" s="222" t="s">
        <v>453</v>
      </c>
      <c r="C125" s="225">
        <v>884093</v>
      </c>
      <c r="D125" s="233">
        <v>7206</v>
      </c>
      <c r="E125" s="233">
        <v>3788</v>
      </c>
      <c r="F125" s="233">
        <v>212926</v>
      </c>
      <c r="G125" s="233">
        <v>43964</v>
      </c>
      <c r="H125" s="233"/>
      <c r="J125" s="233">
        <v>115268</v>
      </c>
      <c r="K125" s="226">
        <v>517447</v>
      </c>
      <c r="L125" s="233">
        <v>24590</v>
      </c>
      <c r="M125" s="233">
        <v>-225755</v>
      </c>
      <c r="N125" s="224">
        <f t="shared" si="2"/>
        <v>-201165</v>
      </c>
      <c r="O125" s="241">
        <f t="shared" si="3"/>
        <v>632715</v>
      </c>
    </row>
    <row r="126" spans="1:15" ht="13.8" x14ac:dyDescent="0.25">
      <c r="A126" s="220">
        <v>33027</v>
      </c>
      <c r="B126" s="222" t="s">
        <v>300</v>
      </c>
      <c r="C126" s="225">
        <v>13606822</v>
      </c>
      <c r="D126" s="233">
        <v>110904</v>
      </c>
      <c r="E126" s="233">
        <v>58307</v>
      </c>
      <c r="F126" s="233">
        <v>3277078</v>
      </c>
      <c r="G126" s="233">
        <v>1587433</v>
      </c>
      <c r="H126" s="233"/>
      <c r="J126" s="233">
        <v>1774052</v>
      </c>
      <c r="K126" s="233">
        <v>0</v>
      </c>
      <c r="L126" s="233">
        <v>378437</v>
      </c>
      <c r="M126" s="233">
        <v>729006</v>
      </c>
      <c r="N126" s="224">
        <f t="shared" si="2"/>
        <v>1107443</v>
      </c>
      <c r="O126" s="241">
        <f t="shared" si="3"/>
        <v>1774052</v>
      </c>
    </row>
    <row r="127" spans="1:15" ht="13.8" x14ac:dyDescent="0.25">
      <c r="A127" s="220">
        <v>33100</v>
      </c>
      <c r="B127" s="222" t="s">
        <v>301</v>
      </c>
      <c r="C127" s="225">
        <v>96516937</v>
      </c>
      <c r="D127" s="233">
        <v>786669</v>
      </c>
      <c r="E127" s="233">
        <v>413591</v>
      </c>
      <c r="F127" s="233">
        <v>23245219</v>
      </c>
      <c r="G127" s="233">
        <v>2584588</v>
      </c>
      <c r="H127" s="233"/>
      <c r="J127" s="233">
        <v>12583838</v>
      </c>
      <c r="K127" s="233">
        <v>2903388</v>
      </c>
      <c r="L127" s="233">
        <v>2684349</v>
      </c>
      <c r="M127" s="233">
        <v>-1402470</v>
      </c>
      <c r="N127" s="224">
        <f t="shared" si="2"/>
        <v>1281879</v>
      </c>
      <c r="O127" s="241">
        <f t="shared" si="3"/>
        <v>15487226</v>
      </c>
    </row>
    <row r="128" spans="1:15" ht="13.8" x14ac:dyDescent="0.25">
      <c r="A128" s="220">
        <v>33105</v>
      </c>
      <c r="B128" s="222" t="s">
        <v>70</v>
      </c>
      <c r="C128" s="225">
        <v>11927647</v>
      </c>
      <c r="D128" s="233">
        <v>97217</v>
      </c>
      <c r="E128" s="233">
        <v>51112</v>
      </c>
      <c r="F128" s="233">
        <v>2872664</v>
      </c>
      <c r="G128" s="233">
        <v>885166</v>
      </c>
      <c r="H128" s="233"/>
      <c r="J128" s="233">
        <v>1555122</v>
      </c>
      <c r="K128" s="233">
        <v>449068</v>
      </c>
      <c r="L128" s="233">
        <v>331736</v>
      </c>
      <c r="M128" s="233">
        <v>87115</v>
      </c>
      <c r="N128" s="224">
        <f t="shared" si="2"/>
        <v>418851</v>
      </c>
      <c r="O128" s="241">
        <f t="shared" si="3"/>
        <v>2004190</v>
      </c>
    </row>
    <row r="129" spans="1:15" ht="13.8" x14ac:dyDescent="0.25">
      <c r="A129" s="220">
        <v>33200</v>
      </c>
      <c r="B129" s="222" t="s">
        <v>302</v>
      </c>
      <c r="C129" s="225">
        <v>448243212</v>
      </c>
      <c r="D129" s="233">
        <v>3653444</v>
      </c>
      <c r="E129" s="233">
        <v>1920795</v>
      </c>
      <c r="F129" s="233">
        <v>107955269</v>
      </c>
      <c r="G129" s="233">
        <v>3163300</v>
      </c>
      <c r="H129" s="233"/>
      <c r="J129" s="233">
        <v>58441763</v>
      </c>
      <c r="K129" s="233">
        <v>19468991</v>
      </c>
      <c r="L129" s="233">
        <v>12466639</v>
      </c>
      <c r="M129" s="233">
        <v>-3302585</v>
      </c>
      <c r="N129" s="224">
        <f t="shared" si="2"/>
        <v>9164054</v>
      </c>
      <c r="O129" s="241">
        <f t="shared" si="3"/>
        <v>77910754</v>
      </c>
    </row>
    <row r="130" spans="1:15" ht="13.8" x14ac:dyDescent="0.25">
      <c r="A130" s="219">
        <v>33202</v>
      </c>
      <c r="B130" s="221" t="s">
        <v>454</v>
      </c>
      <c r="C130" s="224">
        <v>9165560</v>
      </c>
      <c r="D130" s="224">
        <v>74705</v>
      </c>
      <c r="E130" s="224">
        <v>39276</v>
      </c>
      <c r="F130" s="224">
        <v>2207441</v>
      </c>
      <c r="G130" s="224">
        <v>433194</v>
      </c>
      <c r="H130" s="224"/>
      <c r="J130" s="224">
        <v>1195002</v>
      </c>
      <c r="K130" s="224">
        <v>221274</v>
      </c>
      <c r="L130" s="224">
        <v>254913</v>
      </c>
      <c r="M130" s="224">
        <v>159416</v>
      </c>
      <c r="N130" s="224">
        <f t="shared" si="2"/>
        <v>414329</v>
      </c>
      <c r="O130" s="241">
        <f t="shared" si="3"/>
        <v>1416276</v>
      </c>
    </row>
    <row r="131" spans="1:15" ht="13.8" x14ac:dyDescent="0.25">
      <c r="A131" s="219">
        <v>33203</v>
      </c>
      <c r="B131" s="221" t="s">
        <v>303</v>
      </c>
      <c r="C131" s="224">
        <v>6318961</v>
      </c>
      <c r="D131" s="224">
        <v>51503</v>
      </c>
      <c r="E131" s="224">
        <v>27078</v>
      </c>
      <c r="F131" s="224">
        <v>1521864</v>
      </c>
      <c r="G131" s="224">
        <v>951653</v>
      </c>
      <c r="H131" s="224"/>
      <c r="J131" s="224">
        <v>823863</v>
      </c>
      <c r="K131" s="224">
        <v>0</v>
      </c>
      <c r="L131" s="224">
        <v>175744</v>
      </c>
      <c r="M131" s="224">
        <v>483142</v>
      </c>
      <c r="N131" s="224">
        <f t="shared" si="2"/>
        <v>658886</v>
      </c>
      <c r="O131" s="241">
        <f t="shared" si="3"/>
        <v>823863</v>
      </c>
    </row>
    <row r="132" spans="1:15" ht="13.8" x14ac:dyDescent="0.25">
      <c r="A132" s="219">
        <v>33204</v>
      </c>
      <c r="B132" s="221" t="s">
        <v>304</v>
      </c>
      <c r="C132" s="224">
        <v>15331896</v>
      </c>
      <c r="D132" s="224">
        <v>124964</v>
      </c>
      <c r="E132" s="224">
        <v>65700</v>
      </c>
      <c r="F132" s="224">
        <v>3692547</v>
      </c>
      <c r="G132" s="224">
        <v>869962</v>
      </c>
      <c r="H132" s="224"/>
      <c r="J132" s="224">
        <v>1998966</v>
      </c>
      <c r="K132" s="224">
        <v>50682</v>
      </c>
      <c r="L132" s="224">
        <v>426413</v>
      </c>
      <c r="M132" s="224">
        <v>365169</v>
      </c>
      <c r="N132" s="224">
        <f t="shared" si="2"/>
        <v>791582</v>
      </c>
      <c r="O132" s="241">
        <f t="shared" si="3"/>
        <v>2049648</v>
      </c>
    </row>
    <row r="133" spans="1:15" ht="13.8" x14ac:dyDescent="0.25">
      <c r="A133" s="219">
        <v>33205</v>
      </c>
      <c r="B133" s="221" t="s">
        <v>71</v>
      </c>
      <c r="C133" s="224">
        <v>40219928</v>
      </c>
      <c r="D133" s="224">
        <v>327816</v>
      </c>
      <c r="E133" s="224">
        <v>172349</v>
      </c>
      <c r="F133" s="224">
        <v>9686601</v>
      </c>
      <c r="G133" s="224">
        <v>3396764</v>
      </c>
      <c r="H133" s="224"/>
      <c r="J133" s="224">
        <v>5243857</v>
      </c>
      <c r="K133" s="224">
        <v>339255</v>
      </c>
      <c r="L133" s="224">
        <v>1118606</v>
      </c>
      <c r="M133" s="224">
        <v>674287</v>
      </c>
      <c r="N133" s="224">
        <f t="shared" ref="N133:N196" si="4">L133+M133</f>
        <v>1792893</v>
      </c>
      <c r="O133" s="241">
        <f t="shared" ref="O133:O196" si="5">SUM(H133:K133)</f>
        <v>5583112</v>
      </c>
    </row>
    <row r="134" spans="1:15" ht="13.8" x14ac:dyDescent="0.25">
      <c r="A134" s="219">
        <v>33206</v>
      </c>
      <c r="B134" s="221" t="s">
        <v>305</v>
      </c>
      <c r="C134" s="224">
        <v>4580894</v>
      </c>
      <c r="D134" s="224">
        <v>37337</v>
      </c>
      <c r="E134" s="224">
        <v>19630</v>
      </c>
      <c r="F134" s="224">
        <v>1103266</v>
      </c>
      <c r="G134" s="224">
        <v>619771</v>
      </c>
      <c r="H134" s="224"/>
      <c r="J134" s="224">
        <v>597255</v>
      </c>
      <c r="K134" s="224">
        <v>0</v>
      </c>
      <c r="L134" s="224">
        <v>127405</v>
      </c>
      <c r="M134" s="224">
        <v>168086</v>
      </c>
      <c r="N134" s="224">
        <f t="shared" si="4"/>
        <v>295491</v>
      </c>
      <c r="O134" s="241">
        <f t="shared" si="5"/>
        <v>597255</v>
      </c>
    </row>
    <row r="135" spans="1:15" ht="13.8" x14ac:dyDescent="0.25">
      <c r="A135" s="219">
        <v>33207</v>
      </c>
      <c r="B135" s="221" t="s">
        <v>306</v>
      </c>
      <c r="C135" s="224">
        <v>15588647</v>
      </c>
      <c r="D135" s="224">
        <v>127057</v>
      </c>
      <c r="E135" s="224">
        <v>66800</v>
      </c>
      <c r="F135" s="224">
        <v>3754383</v>
      </c>
      <c r="G135" s="224">
        <v>1267492</v>
      </c>
      <c r="H135" s="224"/>
      <c r="J135" s="224">
        <v>2032441</v>
      </c>
      <c r="K135" s="224">
        <v>1342487</v>
      </c>
      <c r="L135" s="224">
        <v>433555</v>
      </c>
      <c r="M135" s="224">
        <v>820589</v>
      </c>
      <c r="N135" s="224">
        <f t="shared" si="4"/>
        <v>1254144</v>
      </c>
      <c r="O135" s="241">
        <f t="shared" si="5"/>
        <v>3374928</v>
      </c>
    </row>
    <row r="136" spans="1:15" ht="13.8" x14ac:dyDescent="0.25">
      <c r="A136" s="220">
        <v>33209</v>
      </c>
      <c r="B136" s="222" t="s">
        <v>307</v>
      </c>
      <c r="C136" s="226">
        <v>0</v>
      </c>
      <c r="D136" s="226">
        <v>0</v>
      </c>
      <c r="E136" s="226">
        <v>0</v>
      </c>
      <c r="F136" s="226">
        <v>0</v>
      </c>
      <c r="G136" s="226">
        <v>0</v>
      </c>
      <c r="H136" s="226"/>
      <c r="J136" s="226">
        <v>0</v>
      </c>
      <c r="K136" s="226">
        <v>1364652</v>
      </c>
      <c r="L136" s="226">
        <v>0</v>
      </c>
      <c r="M136" s="233">
        <v>-566072</v>
      </c>
      <c r="N136" s="224">
        <f t="shared" si="4"/>
        <v>-566072</v>
      </c>
      <c r="O136" s="241">
        <f t="shared" si="5"/>
        <v>1364652</v>
      </c>
    </row>
    <row r="137" spans="1:15" ht="13.8" x14ac:dyDescent="0.25">
      <c r="A137" s="220">
        <v>33300</v>
      </c>
      <c r="B137" s="222" t="s">
        <v>308</v>
      </c>
      <c r="C137" s="225">
        <v>61476487</v>
      </c>
      <c r="D137" s="233">
        <v>501069</v>
      </c>
      <c r="E137" s="233">
        <v>263437</v>
      </c>
      <c r="F137" s="233">
        <v>14806048</v>
      </c>
      <c r="G137" s="233">
        <v>743918</v>
      </c>
      <c r="H137" s="233"/>
      <c r="J137" s="233">
        <v>8015279</v>
      </c>
      <c r="K137" s="233">
        <v>3766649</v>
      </c>
      <c r="L137" s="233">
        <v>1709797</v>
      </c>
      <c r="M137" s="233">
        <v>-1415647</v>
      </c>
      <c r="N137" s="224">
        <f t="shared" si="4"/>
        <v>294150</v>
      </c>
      <c r="O137" s="241">
        <f t="shared" si="5"/>
        <v>11781928</v>
      </c>
    </row>
    <row r="138" spans="1:15" ht="13.8" x14ac:dyDescent="0.25">
      <c r="A138" s="220">
        <v>33305</v>
      </c>
      <c r="B138" s="222" t="s">
        <v>72</v>
      </c>
      <c r="C138" s="225">
        <v>13473897</v>
      </c>
      <c r="D138" s="233">
        <v>109820</v>
      </c>
      <c r="E138" s="233">
        <v>57738</v>
      </c>
      <c r="F138" s="233">
        <v>3245065</v>
      </c>
      <c r="G138" s="233">
        <v>954017</v>
      </c>
      <c r="H138" s="233"/>
      <c r="J138" s="233">
        <v>1756721</v>
      </c>
      <c r="K138" s="233">
        <v>942420</v>
      </c>
      <c r="L138" s="233">
        <v>374739</v>
      </c>
      <c r="M138" s="233">
        <v>-506069</v>
      </c>
      <c r="N138" s="224">
        <f t="shared" si="4"/>
        <v>-131330</v>
      </c>
      <c r="O138" s="241">
        <f t="shared" si="5"/>
        <v>2699141</v>
      </c>
    </row>
    <row r="139" spans="1:15" ht="13.8" x14ac:dyDescent="0.25">
      <c r="A139" s="220">
        <v>33400</v>
      </c>
      <c r="B139" s="222" t="s">
        <v>309</v>
      </c>
      <c r="C139" s="225">
        <v>644709739</v>
      </c>
      <c r="D139" s="233">
        <v>5254761</v>
      </c>
      <c r="E139" s="233">
        <v>2762686</v>
      </c>
      <c r="F139" s="233">
        <v>155272431</v>
      </c>
      <c r="G139" s="233">
        <v>25552486</v>
      </c>
      <c r="H139" s="233"/>
      <c r="J139" s="233">
        <v>84056987</v>
      </c>
      <c r="K139" s="233">
        <v>5784977</v>
      </c>
      <c r="L139" s="233">
        <v>17930813</v>
      </c>
      <c r="M139" s="233">
        <v>4102554</v>
      </c>
      <c r="N139" s="224">
        <f t="shared" si="4"/>
        <v>22033367</v>
      </c>
      <c r="O139" s="241">
        <f t="shared" si="5"/>
        <v>89841964</v>
      </c>
    </row>
    <row r="140" spans="1:15" ht="13.8" x14ac:dyDescent="0.25">
      <c r="A140" s="220">
        <v>33402</v>
      </c>
      <c r="B140" s="222" t="s">
        <v>310</v>
      </c>
      <c r="C140" s="225">
        <v>6367789</v>
      </c>
      <c r="D140" s="233">
        <v>51901</v>
      </c>
      <c r="E140" s="233">
        <v>27287</v>
      </c>
      <c r="F140" s="233">
        <v>1533624</v>
      </c>
      <c r="G140" s="233">
        <v>521615</v>
      </c>
      <c r="H140" s="233"/>
      <c r="J140" s="233">
        <v>830230</v>
      </c>
      <c r="K140" s="233">
        <v>83004</v>
      </c>
      <c r="L140" s="233">
        <v>177103</v>
      </c>
      <c r="M140" s="233">
        <v>162336</v>
      </c>
      <c r="N140" s="224">
        <f t="shared" si="4"/>
        <v>339439</v>
      </c>
      <c r="O140" s="241">
        <f t="shared" si="5"/>
        <v>913234</v>
      </c>
    </row>
    <row r="141" spans="1:15" ht="13.8" x14ac:dyDescent="0.25">
      <c r="A141" s="220">
        <v>33405</v>
      </c>
      <c r="B141" s="222" t="s">
        <v>73</v>
      </c>
      <c r="C141" s="225">
        <v>59421181</v>
      </c>
      <c r="D141" s="233">
        <v>484317</v>
      </c>
      <c r="E141" s="233">
        <v>254629</v>
      </c>
      <c r="F141" s="233">
        <v>14311047</v>
      </c>
      <c r="G141" s="233">
        <v>4267846</v>
      </c>
      <c r="H141" s="233"/>
      <c r="J141" s="233">
        <v>7747309</v>
      </c>
      <c r="K141" s="233">
        <v>148288</v>
      </c>
      <c r="L141" s="233">
        <v>1652635</v>
      </c>
      <c r="M141" s="233">
        <v>1032492</v>
      </c>
      <c r="N141" s="224">
        <f t="shared" si="4"/>
        <v>2685127</v>
      </c>
      <c r="O141" s="241">
        <f t="shared" si="5"/>
        <v>7895597</v>
      </c>
    </row>
    <row r="142" spans="1:15" ht="13.8" x14ac:dyDescent="0.25">
      <c r="A142" s="219">
        <v>33500</v>
      </c>
      <c r="B142" s="221" t="s">
        <v>311</v>
      </c>
      <c r="C142" s="224">
        <v>89598838</v>
      </c>
      <c r="D142" s="224">
        <v>730283</v>
      </c>
      <c r="E142" s="224">
        <v>383946</v>
      </c>
      <c r="F142" s="224">
        <v>21579059</v>
      </c>
      <c r="G142" s="224">
        <v>1587830</v>
      </c>
      <c r="H142" s="224"/>
      <c r="J142" s="224">
        <v>11681859</v>
      </c>
      <c r="K142" s="224">
        <v>3543728</v>
      </c>
      <c r="L142" s="224">
        <v>2491943</v>
      </c>
      <c r="M142" s="224">
        <v>-1237677</v>
      </c>
      <c r="N142" s="224">
        <f t="shared" si="4"/>
        <v>1254266</v>
      </c>
      <c r="O142" s="241">
        <f t="shared" si="5"/>
        <v>15225587</v>
      </c>
    </row>
    <row r="143" spans="1:15" ht="13.8" x14ac:dyDescent="0.25">
      <c r="A143" s="219">
        <v>33501</v>
      </c>
      <c r="B143" s="221" t="s">
        <v>312</v>
      </c>
      <c r="C143" s="224">
        <v>3292310</v>
      </c>
      <c r="D143" s="224">
        <v>26834</v>
      </c>
      <c r="E143" s="224">
        <v>14108</v>
      </c>
      <c r="F143" s="224">
        <v>792923</v>
      </c>
      <c r="G143" s="224">
        <v>636067</v>
      </c>
      <c r="H143" s="224"/>
      <c r="J143" s="224">
        <v>429250</v>
      </c>
      <c r="K143" s="224">
        <v>294063</v>
      </c>
      <c r="L143" s="224">
        <v>91568</v>
      </c>
      <c r="M143" s="224">
        <v>212555</v>
      </c>
      <c r="N143" s="224">
        <f t="shared" si="4"/>
        <v>304123</v>
      </c>
      <c r="O143" s="241">
        <f t="shared" si="5"/>
        <v>723313</v>
      </c>
    </row>
    <row r="144" spans="1:15" ht="13.8" x14ac:dyDescent="0.25">
      <c r="A144" s="219">
        <v>33600</v>
      </c>
      <c r="B144" s="221" t="s">
        <v>313</v>
      </c>
      <c r="C144" s="224">
        <v>312308928</v>
      </c>
      <c r="D144" s="224">
        <v>2545500</v>
      </c>
      <c r="E144" s="224">
        <v>1338295</v>
      </c>
      <c r="F144" s="224">
        <v>75216743</v>
      </c>
      <c r="G144" s="224">
        <v>6374050</v>
      </c>
      <c r="H144" s="224"/>
      <c r="J144" s="224">
        <v>40718708</v>
      </c>
      <c r="K144" s="224">
        <v>16891779</v>
      </c>
      <c r="L144" s="224">
        <v>8686006</v>
      </c>
      <c r="M144" s="224">
        <v>-5574291</v>
      </c>
      <c r="N144" s="224">
        <f t="shared" si="4"/>
        <v>3111715</v>
      </c>
      <c r="O144" s="241">
        <f t="shared" si="5"/>
        <v>57610487</v>
      </c>
    </row>
    <row r="145" spans="1:15" ht="13.8" x14ac:dyDescent="0.25">
      <c r="A145" s="219">
        <v>33605</v>
      </c>
      <c r="B145" s="221" t="s">
        <v>74</v>
      </c>
      <c r="C145" s="224">
        <v>37390312</v>
      </c>
      <c r="D145" s="224">
        <v>304753</v>
      </c>
      <c r="E145" s="224">
        <v>160224</v>
      </c>
      <c r="F145" s="224">
        <v>9005114</v>
      </c>
      <c r="G145" s="224">
        <v>2354224</v>
      </c>
      <c r="H145" s="224"/>
      <c r="J145" s="224">
        <v>4874933</v>
      </c>
      <c r="K145" s="224">
        <v>874579</v>
      </c>
      <c r="L145" s="224">
        <v>1039909</v>
      </c>
      <c r="M145" s="224">
        <v>-372249</v>
      </c>
      <c r="N145" s="224">
        <f t="shared" si="4"/>
        <v>667660</v>
      </c>
      <c r="O145" s="241">
        <f t="shared" si="5"/>
        <v>5749512</v>
      </c>
    </row>
    <row r="146" spans="1:15" ht="13.8" x14ac:dyDescent="0.25">
      <c r="A146" s="219">
        <v>33700</v>
      </c>
      <c r="B146" s="221" t="s">
        <v>314</v>
      </c>
      <c r="C146" s="224">
        <v>22972011</v>
      </c>
      <c r="D146" s="224">
        <v>187235</v>
      </c>
      <c r="E146" s="224">
        <v>98439</v>
      </c>
      <c r="F146" s="224">
        <v>5532598</v>
      </c>
      <c r="G146" s="224">
        <v>1039992</v>
      </c>
      <c r="H146" s="224"/>
      <c r="J146" s="224">
        <v>2995081</v>
      </c>
      <c r="K146" s="224">
        <v>746118</v>
      </c>
      <c r="L146" s="224">
        <v>638905</v>
      </c>
      <c r="M146" s="224">
        <v>151368</v>
      </c>
      <c r="N146" s="224">
        <f t="shared" si="4"/>
        <v>790273</v>
      </c>
      <c r="O146" s="241">
        <f t="shared" si="5"/>
        <v>3741199</v>
      </c>
    </row>
    <row r="147" spans="1:15" ht="13.8" x14ac:dyDescent="0.25">
      <c r="A147" s="219">
        <v>33800</v>
      </c>
      <c r="B147" s="221" t="s">
        <v>315</v>
      </c>
      <c r="C147" s="224">
        <v>16979258</v>
      </c>
      <c r="D147" s="224">
        <v>138391</v>
      </c>
      <c r="E147" s="224">
        <v>72759</v>
      </c>
      <c r="F147" s="224">
        <v>4089299</v>
      </c>
      <c r="G147" s="224">
        <v>1352018</v>
      </c>
      <c r="H147" s="224"/>
      <c r="J147" s="224">
        <v>2213749</v>
      </c>
      <c r="K147" s="224">
        <v>992128</v>
      </c>
      <c r="L147" s="224">
        <v>472231</v>
      </c>
      <c r="M147" s="224">
        <v>61943</v>
      </c>
      <c r="N147" s="224">
        <f t="shared" si="4"/>
        <v>534174</v>
      </c>
      <c r="O147" s="241">
        <f t="shared" si="5"/>
        <v>3205877</v>
      </c>
    </row>
    <row r="148" spans="1:15" ht="13.8" x14ac:dyDescent="0.25">
      <c r="A148" s="220">
        <v>33900</v>
      </c>
      <c r="B148" s="222" t="s">
        <v>837</v>
      </c>
      <c r="C148" s="225">
        <v>65281911</v>
      </c>
      <c r="D148" s="233">
        <v>532086</v>
      </c>
      <c r="E148" s="233">
        <v>279744</v>
      </c>
      <c r="F148" s="233">
        <v>15722550</v>
      </c>
      <c r="G148" s="226">
        <v>0</v>
      </c>
      <c r="H148" s="233"/>
      <c r="J148" s="233">
        <v>8511428</v>
      </c>
      <c r="K148" s="233">
        <v>6844106</v>
      </c>
      <c r="L148" s="233">
        <v>1815635</v>
      </c>
      <c r="M148" s="233">
        <v>-3856164</v>
      </c>
      <c r="N148" s="224">
        <f t="shared" si="4"/>
        <v>-2040529</v>
      </c>
      <c r="O148" s="241">
        <f t="shared" si="5"/>
        <v>15355534</v>
      </c>
    </row>
    <row r="149" spans="1:15" ht="13.8" x14ac:dyDescent="0.25">
      <c r="A149" s="220">
        <v>34000</v>
      </c>
      <c r="B149" s="222" t="s">
        <v>316</v>
      </c>
      <c r="C149" s="225">
        <v>42269867</v>
      </c>
      <c r="D149" s="233">
        <v>344524</v>
      </c>
      <c r="E149" s="233">
        <v>181133</v>
      </c>
      <c r="F149" s="233">
        <v>10180310</v>
      </c>
      <c r="G149" s="233">
        <v>3721088</v>
      </c>
      <c r="H149" s="233"/>
      <c r="J149" s="233">
        <v>5511128</v>
      </c>
      <c r="K149" s="233">
        <v>672208</v>
      </c>
      <c r="L149" s="233">
        <v>1175620</v>
      </c>
      <c r="M149" s="233">
        <v>469398</v>
      </c>
      <c r="N149" s="224">
        <f t="shared" si="4"/>
        <v>1645018</v>
      </c>
      <c r="O149" s="241">
        <f t="shared" si="5"/>
        <v>6183336</v>
      </c>
    </row>
    <row r="150" spans="1:15" ht="13.8" x14ac:dyDescent="0.25">
      <c r="A150" s="220">
        <v>34100</v>
      </c>
      <c r="B150" s="222" t="s">
        <v>317</v>
      </c>
      <c r="C150" s="225">
        <v>815977039</v>
      </c>
      <c r="D150" s="233">
        <v>6650689</v>
      </c>
      <c r="E150" s="233">
        <v>3496595</v>
      </c>
      <c r="F150" s="233">
        <v>196520590</v>
      </c>
      <c r="G150" s="233">
        <v>4512261</v>
      </c>
      <c r="H150" s="233"/>
      <c r="J150" s="233">
        <v>106386746</v>
      </c>
      <c r="K150" s="233">
        <v>25223591</v>
      </c>
      <c r="L150" s="233">
        <v>22694136</v>
      </c>
      <c r="M150" s="233">
        <v>-13049541</v>
      </c>
      <c r="N150" s="224">
        <f t="shared" si="4"/>
        <v>9644595</v>
      </c>
      <c r="O150" s="241">
        <f t="shared" si="5"/>
        <v>131610337</v>
      </c>
    </row>
    <row r="151" spans="1:15" ht="13.8" x14ac:dyDescent="0.25">
      <c r="A151" s="220">
        <v>34105</v>
      </c>
      <c r="B151" s="222" t="s">
        <v>75</v>
      </c>
      <c r="C151" s="225">
        <v>60777682</v>
      </c>
      <c r="D151" s="233">
        <v>495374</v>
      </c>
      <c r="E151" s="233">
        <v>260442</v>
      </c>
      <c r="F151" s="233">
        <v>14637747</v>
      </c>
      <c r="G151" s="233">
        <v>1003096</v>
      </c>
      <c r="H151" s="233"/>
      <c r="J151" s="233">
        <v>7924169</v>
      </c>
      <c r="K151" s="233">
        <v>1410056</v>
      </c>
      <c r="L151" s="233">
        <v>1690362</v>
      </c>
      <c r="M151" s="233">
        <v>-1457729</v>
      </c>
      <c r="N151" s="224">
        <f t="shared" si="4"/>
        <v>232633</v>
      </c>
      <c r="O151" s="241">
        <f t="shared" si="5"/>
        <v>9334225</v>
      </c>
    </row>
    <row r="152" spans="1:15" ht="13.8" x14ac:dyDescent="0.25">
      <c r="A152" s="220">
        <v>34200</v>
      </c>
      <c r="B152" s="222" t="s">
        <v>318</v>
      </c>
      <c r="C152" s="225">
        <v>21866959</v>
      </c>
      <c r="D152" s="233">
        <v>178228</v>
      </c>
      <c r="E152" s="233">
        <v>93703</v>
      </c>
      <c r="F152" s="233">
        <v>5266457</v>
      </c>
      <c r="G152" s="233">
        <v>627276</v>
      </c>
      <c r="H152" s="233"/>
      <c r="J152" s="233">
        <v>2851005</v>
      </c>
      <c r="K152" s="233">
        <v>4258159</v>
      </c>
      <c r="L152" s="233">
        <v>608170</v>
      </c>
      <c r="M152" s="233">
        <v>-1064938</v>
      </c>
      <c r="N152" s="224">
        <f t="shared" si="4"/>
        <v>-456768</v>
      </c>
      <c r="O152" s="241">
        <f t="shared" si="5"/>
        <v>7109164</v>
      </c>
    </row>
    <row r="153" spans="1:15" ht="13.8" x14ac:dyDescent="0.25">
      <c r="A153" s="220">
        <v>34205</v>
      </c>
      <c r="B153" s="222" t="s">
        <v>76</v>
      </c>
      <c r="C153" s="225">
        <v>9892776</v>
      </c>
      <c r="D153" s="233">
        <v>80632</v>
      </c>
      <c r="E153" s="233">
        <v>42392</v>
      </c>
      <c r="F153" s="233">
        <v>2382584</v>
      </c>
      <c r="G153" s="233">
        <v>425074</v>
      </c>
      <c r="H153" s="233"/>
      <c r="J153" s="233">
        <v>1289816</v>
      </c>
      <c r="K153" s="233">
        <v>1431422</v>
      </c>
      <c r="L153" s="233">
        <v>275142</v>
      </c>
      <c r="M153" s="233">
        <v>-540453</v>
      </c>
      <c r="N153" s="224">
        <f t="shared" si="4"/>
        <v>-265311</v>
      </c>
      <c r="O153" s="241">
        <f t="shared" si="5"/>
        <v>2721238</v>
      </c>
    </row>
    <row r="154" spans="1:15" ht="13.8" x14ac:dyDescent="0.25">
      <c r="A154" s="219">
        <v>34220</v>
      </c>
      <c r="B154" s="221" t="s">
        <v>319</v>
      </c>
      <c r="C154" s="224">
        <v>33291836</v>
      </c>
      <c r="D154" s="224">
        <v>271348</v>
      </c>
      <c r="E154" s="224">
        <v>142661</v>
      </c>
      <c r="F154" s="224">
        <v>8018033</v>
      </c>
      <c r="G154" s="224">
        <v>1709133</v>
      </c>
      <c r="H154" s="224"/>
      <c r="J154" s="224">
        <v>4340576</v>
      </c>
      <c r="K154" s="224">
        <v>711737</v>
      </c>
      <c r="L154" s="224">
        <v>925918</v>
      </c>
      <c r="M154" s="224">
        <v>-226982</v>
      </c>
      <c r="N154" s="224">
        <f t="shared" si="4"/>
        <v>698936</v>
      </c>
      <c r="O154" s="241">
        <f t="shared" si="5"/>
        <v>5052313</v>
      </c>
    </row>
    <row r="155" spans="1:15" ht="13.8" x14ac:dyDescent="0.25">
      <c r="A155" s="219">
        <v>34230</v>
      </c>
      <c r="B155" s="221" t="s">
        <v>320</v>
      </c>
      <c r="C155" s="224">
        <v>11679260</v>
      </c>
      <c r="D155" s="224">
        <v>95193</v>
      </c>
      <c r="E155" s="224">
        <v>50048</v>
      </c>
      <c r="F155" s="224">
        <v>2812843</v>
      </c>
      <c r="G155" s="224">
        <v>1248455</v>
      </c>
      <c r="H155" s="224"/>
      <c r="J155" s="224">
        <v>1522737</v>
      </c>
      <c r="K155" s="224">
        <v>328734</v>
      </c>
      <c r="L155" s="224">
        <v>324827</v>
      </c>
      <c r="M155" s="224">
        <v>-165240</v>
      </c>
      <c r="N155" s="224">
        <f t="shared" si="4"/>
        <v>159587</v>
      </c>
      <c r="O155" s="241">
        <f t="shared" si="5"/>
        <v>1851471</v>
      </c>
    </row>
    <row r="156" spans="1:15" ht="13.8" x14ac:dyDescent="0.25">
      <c r="A156" s="219">
        <v>34300</v>
      </c>
      <c r="B156" s="221" t="s">
        <v>321</v>
      </c>
      <c r="C156" s="224">
        <v>182179655</v>
      </c>
      <c r="D156" s="224">
        <v>1484871</v>
      </c>
      <c r="E156" s="224">
        <v>780670</v>
      </c>
      <c r="F156" s="224">
        <v>43876299</v>
      </c>
      <c r="G156" s="224">
        <v>0</v>
      </c>
      <c r="H156" s="224"/>
      <c r="J156" s="224">
        <v>23752507</v>
      </c>
      <c r="K156" s="224">
        <v>13978652</v>
      </c>
      <c r="L156" s="224">
        <v>5066820</v>
      </c>
      <c r="M156" s="224">
        <v>-6668263</v>
      </c>
      <c r="N156" s="224">
        <f t="shared" si="4"/>
        <v>-1601443</v>
      </c>
      <c r="O156" s="241">
        <f t="shared" si="5"/>
        <v>37731159</v>
      </c>
    </row>
    <row r="157" spans="1:15" ht="13.8" x14ac:dyDescent="0.25">
      <c r="A157" s="219">
        <v>34400</v>
      </c>
      <c r="B157" s="221" t="s">
        <v>322</v>
      </c>
      <c r="C157" s="224">
        <v>80997200</v>
      </c>
      <c r="D157" s="224">
        <v>660174</v>
      </c>
      <c r="E157" s="224">
        <v>347086</v>
      </c>
      <c r="F157" s="224">
        <v>19507433</v>
      </c>
      <c r="G157" s="224">
        <v>1488598</v>
      </c>
      <c r="H157" s="224"/>
      <c r="J157" s="224">
        <v>10560381</v>
      </c>
      <c r="K157" s="224">
        <v>4448687</v>
      </c>
      <c r="L157" s="224">
        <v>2252711</v>
      </c>
      <c r="M157" s="224">
        <v>-715213</v>
      </c>
      <c r="N157" s="224">
        <f t="shared" si="4"/>
        <v>1537498</v>
      </c>
      <c r="O157" s="241">
        <f t="shared" si="5"/>
        <v>15009068</v>
      </c>
    </row>
    <row r="158" spans="1:15" ht="13.8" x14ac:dyDescent="0.25">
      <c r="A158" s="219">
        <v>34405</v>
      </c>
      <c r="B158" s="221" t="s">
        <v>77</v>
      </c>
      <c r="C158" s="224">
        <v>13768136</v>
      </c>
      <c r="D158" s="224">
        <v>112218</v>
      </c>
      <c r="E158" s="224">
        <v>58999</v>
      </c>
      <c r="F158" s="224">
        <v>3315929</v>
      </c>
      <c r="G158" s="224">
        <v>42616</v>
      </c>
      <c r="H158" s="224"/>
      <c r="J158" s="224">
        <v>1795084</v>
      </c>
      <c r="K158" s="224">
        <v>1257977</v>
      </c>
      <c r="L158" s="224">
        <v>382924</v>
      </c>
      <c r="M158" s="224">
        <v>-579890</v>
      </c>
      <c r="N158" s="224">
        <f t="shared" si="4"/>
        <v>-196966</v>
      </c>
      <c r="O158" s="241">
        <f t="shared" si="5"/>
        <v>3053061</v>
      </c>
    </row>
    <row r="159" spans="1:15" ht="13.8" x14ac:dyDescent="0.25">
      <c r="A159" s="219">
        <v>34500</v>
      </c>
      <c r="B159" s="221" t="s">
        <v>323</v>
      </c>
      <c r="C159" s="224">
        <v>158083527</v>
      </c>
      <c r="D159" s="224">
        <v>1288473</v>
      </c>
      <c r="E159" s="224">
        <v>677414</v>
      </c>
      <c r="F159" s="224">
        <v>38072968</v>
      </c>
      <c r="G159" s="224">
        <v>6312907</v>
      </c>
      <c r="H159" s="224"/>
      <c r="J159" s="224">
        <v>20610864</v>
      </c>
      <c r="K159" s="224">
        <v>5005607</v>
      </c>
      <c r="L159" s="224">
        <v>4396652</v>
      </c>
      <c r="M159" s="224">
        <v>435489</v>
      </c>
      <c r="N159" s="224">
        <f t="shared" si="4"/>
        <v>4832141</v>
      </c>
      <c r="O159" s="241">
        <f t="shared" si="5"/>
        <v>25616471</v>
      </c>
    </row>
    <row r="160" spans="1:15" ht="13.8" x14ac:dyDescent="0.25">
      <c r="A160" s="219">
        <v>34501</v>
      </c>
      <c r="B160" s="221" t="s">
        <v>324</v>
      </c>
      <c r="C160" s="224">
        <v>2346831</v>
      </c>
      <c r="D160" s="224">
        <v>19128</v>
      </c>
      <c r="E160" s="224">
        <v>10057</v>
      </c>
      <c r="F160" s="224">
        <v>565213</v>
      </c>
      <c r="G160" s="224">
        <v>219429</v>
      </c>
      <c r="H160" s="224"/>
      <c r="J160" s="224">
        <v>305979</v>
      </c>
      <c r="K160" s="224">
        <v>82072</v>
      </c>
      <c r="L160" s="224">
        <v>65271</v>
      </c>
      <c r="M160" s="224">
        <v>32291</v>
      </c>
      <c r="N160" s="224">
        <f t="shared" si="4"/>
        <v>97562</v>
      </c>
      <c r="O160" s="241">
        <f t="shared" si="5"/>
        <v>388051</v>
      </c>
    </row>
    <row r="161" spans="1:15" ht="13.8" x14ac:dyDescent="0.25">
      <c r="A161" s="219">
        <v>34505</v>
      </c>
      <c r="B161" s="221" t="s">
        <v>78</v>
      </c>
      <c r="C161" s="224">
        <v>20256572</v>
      </c>
      <c r="D161" s="224">
        <v>165103</v>
      </c>
      <c r="E161" s="224">
        <v>86803</v>
      </c>
      <c r="F161" s="224">
        <v>4878610</v>
      </c>
      <c r="G161" s="224">
        <v>791335</v>
      </c>
      <c r="H161" s="224"/>
      <c r="J161" s="224">
        <v>2641043</v>
      </c>
      <c r="K161" s="224">
        <v>0</v>
      </c>
      <c r="L161" s="224">
        <v>563379</v>
      </c>
      <c r="M161" s="224">
        <v>216457</v>
      </c>
      <c r="N161" s="224">
        <f t="shared" si="4"/>
        <v>779836</v>
      </c>
      <c r="O161" s="241">
        <f t="shared" si="5"/>
        <v>2641043</v>
      </c>
    </row>
    <row r="162" spans="1:15" ht="13.8" x14ac:dyDescent="0.25">
      <c r="A162" s="219">
        <v>34600</v>
      </c>
      <c r="B162" s="221" t="s">
        <v>325</v>
      </c>
      <c r="C162" s="224">
        <v>32025856</v>
      </c>
      <c r="D162" s="224">
        <v>261029</v>
      </c>
      <c r="E162" s="224">
        <v>137236</v>
      </c>
      <c r="F162" s="224">
        <v>7713134</v>
      </c>
      <c r="G162" s="224">
        <v>2311636</v>
      </c>
      <c r="H162" s="224"/>
      <c r="J162" s="224">
        <v>4175518</v>
      </c>
      <c r="K162" s="224">
        <v>2067284</v>
      </c>
      <c r="L162" s="224">
        <v>890711</v>
      </c>
      <c r="M162" s="224">
        <v>-571167</v>
      </c>
      <c r="N162" s="224">
        <f t="shared" si="4"/>
        <v>319544</v>
      </c>
      <c r="O162" s="241">
        <f t="shared" si="5"/>
        <v>6242802</v>
      </c>
    </row>
    <row r="163" spans="1:15" ht="13.8" x14ac:dyDescent="0.25">
      <c r="A163" s="219">
        <v>34605</v>
      </c>
      <c r="B163" s="221" t="s">
        <v>79</v>
      </c>
      <c r="C163" s="224">
        <v>5298281</v>
      </c>
      <c r="D163" s="224">
        <v>43184</v>
      </c>
      <c r="E163" s="224">
        <v>22704</v>
      </c>
      <c r="F163" s="224">
        <v>1276042</v>
      </c>
      <c r="G163" s="224">
        <v>238254</v>
      </c>
      <c r="H163" s="224"/>
      <c r="J163" s="224">
        <v>690788</v>
      </c>
      <c r="K163" s="224">
        <v>384199</v>
      </c>
      <c r="L163" s="224">
        <v>147357</v>
      </c>
      <c r="M163" s="224">
        <v>-355497</v>
      </c>
      <c r="N163" s="224">
        <f t="shared" si="4"/>
        <v>-208140</v>
      </c>
      <c r="O163" s="241">
        <f t="shared" si="5"/>
        <v>1074987</v>
      </c>
    </row>
    <row r="164" spans="1:15" ht="13.8" x14ac:dyDescent="0.25">
      <c r="A164" s="219">
        <v>34700</v>
      </c>
      <c r="B164" s="221" t="s">
        <v>326</v>
      </c>
      <c r="C164" s="224">
        <v>93381048</v>
      </c>
      <c r="D164" s="224">
        <v>761110</v>
      </c>
      <c r="E164" s="224">
        <v>400153</v>
      </c>
      <c r="F164" s="224">
        <v>22489969</v>
      </c>
      <c r="G164" s="224">
        <v>1428596</v>
      </c>
      <c r="H164" s="224"/>
      <c r="J164" s="224">
        <v>12174982</v>
      </c>
      <c r="K164" s="224">
        <v>7819509</v>
      </c>
      <c r="L164" s="224">
        <v>2597135</v>
      </c>
      <c r="M164" s="224">
        <v>-1768327</v>
      </c>
      <c r="N164" s="224">
        <f t="shared" si="4"/>
        <v>828808</v>
      </c>
      <c r="O164" s="241">
        <f t="shared" si="5"/>
        <v>19994491</v>
      </c>
    </row>
    <row r="165" spans="1:15" ht="13.8" x14ac:dyDescent="0.25">
      <c r="A165" s="219">
        <v>34800</v>
      </c>
      <c r="B165" s="221" t="s">
        <v>327</v>
      </c>
      <c r="C165" s="224">
        <v>9762773</v>
      </c>
      <c r="D165" s="224">
        <v>79572</v>
      </c>
      <c r="E165" s="224">
        <v>41835</v>
      </c>
      <c r="F165" s="224">
        <v>2351274</v>
      </c>
      <c r="G165" s="224">
        <v>278314</v>
      </c>
      <c r="H165" s="224"/>
      <c r="J165" s="224">
        <v>1272866</v>
      </c>
      <c r="K165" s="224">
        <v>616160</v>
      </c>
      <c r="L165" s="224">
        <v>271524</v>
      </c>
      <c r="M165" s="224">
        <v>-282744</v>
      </c>
      <c r="N165" s="224">
        <f t="shared" si="4"/>
        <v>-11220</v>
      </c>
      <c r="O165" s="241">
        <f t="shared" si="5"/>
        <v>1889026</v>
      </c>
    </row>
    <row r="166" spans="1:15" ht="13.8" x14ac:dyDescent="0.25">
      <c r="A166" s="220">
        <v>34900</v>
      </c>
      <c r="B166" s="222" t="s">
        <v>482</v>
      </c>
      <c r="C166" s="225">
        <v>218911602</v>
      </c>
      <c r="D166" s="233">
        <v>1784257</v>
      </c>
      <c r="E166" s="233">
        <v>938072</v>
      </c>
      <c r="F166" s="233">
        <v>52722852</v>
      </c>
      <c r="G166" s="233">
        <v>6170124</v>
      </c>
      <c r="H166" s="233"/>
      <c r="J166" s="233">
        <v>28541603</v>
      </c>
      <c r="K166" s="233">
        <v>2594677</v>
      </c>
      <c r="L166" s="233">
        <v>6088418</v>
      </c>
      <c r="M166" s="233">
        <v>-84496</v>
      </c>
      <c r="N166" s="224">
        <f t="shared" si="4"/>
        <v>6003922</v>
      </c>
      <c r="O166" s="241">
        <f t="shared" si="5"/>
        <v>31136280</v>
      </c>
    </row>
    <row r="167" spans="1:15" ht="13.8" x14ac:dyDescent="0.25">
      <c r="A167" s="220">
        <v>34901</v>
      </c>
      <c r="B167" s="222" t="s">
        <v>455</v>
      </c>
      <c r="C167" s="225">
        <v>6410244</v>
      </c>
      <c r="D167" s="233">
        <v>52247</v>
      </c>
      <c r="E167" s="233">
        <v>27469</v>
      </c>
      <c r="F167" s="233">
        <v>1543848</v>
      </c>
      <c r="G167" s="233">
        <v>430807</v>
      </c>
      <c r="H167" s="233"/>
      <c r="J167" s="233">
        <v>835765</v>
      </c>
      <c r="K167" s="233">
        <v>53770</v>
      </c>
      <c r="L167" s="233">
        <v>178283</v>
      </c>
      <c r="M167" s="233">
        <v>118016</v>
      </c>
      <c r="N167" s="224">
        <f t="shared" si="4"/>
        <v>296299</v>
      </c>
      <c r="O167" s="241">
        <f t="shared" si="5"/>
        <v>889535</v>
      </c>
    </row>
    <row r="168" spans="1:15" ht="13.8" x14ac:dyDescent="0.25">
      <c r="A168" s="220">
        <v>34903</v>
      </c>
      <c r="B168" s="222" t="s">
        <v>328</v>
      </c>
      <c r="C168" s="225">
        <v>1100039</v>
      </c>
      <c r="D168" s="233">
        <v>8966</v>
      </c>
      <c r="E168" s="233">
        <v>4714</v>
      </c>
      <c r="F168" s="233">
        <v>264934</v>
      </c>
      <c r="G168" s="233">
        <v>529330</v>
      </c>
      <c r="H168" s="233"/>
      <c r="J168" s="233">
        <v>143423</v>
      </c>
      <c r="K168" s="233">
        <v>0</v>
      </c>
      <c r="L168" s="233">
        <v>30595</v>
      </c>
      <c r="M168" s="233">
        <v>160108</v>
      </c>
      <c r="N168" s="224">
        <f t="shared" si="4"/>
        <v>190703</v>
      </c>
      <c r="O168" s="241">
        <f t="shared" si="5"/>
        <v>143423</v>
      </c>
    </row>
    <row r="169" spans="1:15" ht="13.8" x14ac:dyDescent="0.25">
      <c r="A169" s="220">
        <v>34905</v>
      </c>
      <c r="B169" s="222" t="s">
        <v>80</v>
      </c>
      <c r="C169" s="225">
        <v>19772454</v>
      </c>
      <c r="D169" s="233">
        <v>161157</v>
      </c>
      <c r="E169" s="233">
        <v>84728</v>
      </c>
      <c r="F169" s="233">
        <v>4762014</v>
      </c>
      <c r="G169" s="233">
        <v>501846</v>
      </c>
      <c r="H169" s="233"/>
      <c r="J169" s="233">
        <v>2577924</v>
      </c>
      <c r="K169" s="233">
        <v>605382</v>
      </c>
      <c r="L169" s="233">
        <v>549915</v>
      </c>
      <c r="M169" s="233">
        <v>-86198</v>
      </c>
      <c r="N169" s="224">
        <f t="shared" si="4"/>
        <v>463717</v>
      </c>
      <c r="O169" s="241">
        <f t="shared" si="5"/>
        <v>3183306</v>
      </c>
    </row>
    <row r="170" spans="1:15" ht="13.8" x14ac:dyDescent="0.25">
      <c r="A170" s="220">
        <v>34910</v>
      </c>
      <c r="B170" s="222" t="s">
        <v>329</v>
      </c>
      <c r="C170" s="225">
        <v>70687290</v>
      </c>
      <c r="D170" s="233">
        <v>576143</v>
      </c>
      <c r="E170" s="233">
        <v>302907</v>
      </c>
      <c r="F170" s="233">
        <v>17024386</v>
      </c>
      <c r="G170" s="233">
        <v>3837245</v>
      </c>
      <c r="H170" s="233"/>
      <c r="J170" s="233">
        <v>9216179</v>
      </c>
      <c r="K170" s="233">
        <v>2415483</v>
      </c>
      <c r="L170" s="233">
        <v>1965970</v>
      </c>
      <c r="M170" s="233">
        <v>83980</v>
      </c>
      <c r="N170" s="224">
        <f t="shared" si="4"/>
        <v>2049950</v>
      </c>
      <c r="O170" s="241">
        <f t="shared" si="5"/>
        <v>11631662</v>
      </c>
    </row>
    <row r="171" spans="1:15" ht="13.8" x14ac:dyDescent="0.25">
      <c r="A171" s="220">
        <v>35000</v>
      </c>
      <c r="B171" s="222" t="s">
        <v>330</v>
      </c>
      <c r="C171" s="225">
        <v>47576555</v>
      </c>
      <c r="D171" s="233">
        <v>387777</v>
      </c>
      <c r="E171" s="233">
        <v>203873</v>
      </c>
      <c r="F171" s="233">
        <v>11458377</v>
      </c>
      <c r="G171" s="233">
        <v>2403985</v>
      </c>
      <c r="H171" s="233"/>
      <c r="J171" s="233">
        <v>6203011</v>
      </c>
      <c r="K171" s="233">
        <v>1492833</v>
      </c>
      <c r="L171" s="233">
        <v>1323211</v>
      </c>
      <c r="M171" s="233">
        <v>300761</v>
      </c>
      <c r="N171" s="224">
        <f t="shared" si="4"/>
        <v>1623972</v>
      </c>
      <c r="O171" s="241">
        <f t="shared" si="5"/>
        <v>7695844</v>
      </c>
    </row>
    <row r="172" spans="1:15" ht="13.8" x14ac:dyDescent="0.25">
      <c r="A172" s="219">
        <v>35005</v>
      </c>
      <c r="B172" s="221" t="s">
        <v>81</v>
      </c>
      <c r="C172" s="224">
        <v>16039480</v>
      </c>
      <c r="D172" s="224">
        <v>130731</v>
      </c>
      <c r="E172" s="224">
        <v>68732</v>
      </c>
      <c r="F172" s="224">
        <v>3862962</v>
      </c>
      <c r="G172" s="224">
        <v>33180</v>
      </c>
      <c r="H172" s="224"/>
      <c r="J172" s="224">
        <v>2091221</v>
      </c>
      <c r="K172" s="224">
        <v>1532171</v>
      </c>
      <c r="L172" s="224">
        <v>446095</v>
      </c>
      <c r="M172" s="224">
        <v>-803352</v>
      </c>
      <c r="N172" s="224">
        <f t="shared" si="4"/>
        <v>-357257</v>
      </c>
      <c r="O172" s="241">
        <f t="shared" si="5"/>
        <v>3623392</v>
      </c>
    </row>
    <row r="173" spans="1:15" ht="13.8" x14ac:dyDescent="0.25">
      <c r="A173" s="219">
        <v>35100</v>
      </c>
      <c r="B173" s="221" t="s">
        <v>331</v>
      </c>
      <c r="C173" s="224">
        <v>401020132</v>
      </c>
      <c r="D173" s="224">
        <v>3268548</v>
      </c>
      <c r="E173" s="224">
        <v>1718437</v>
      </c>
      <c r="F173" s="224">
        <v>96582023</v>
      </c>
      <c r="G173" s="224">
        <v>6086827</v>
      </c>
      <c r="H173" s="224"/>
      <c r="J173" s="224">
        <v>52284838</v>
      </c>
      <c r="K173" s="224">
        <v>13466285</v>
      </c>
      <c r="L173" s="224">
        <v>11153261</v>
      </c>
      <c r="M173" s="224">
        <v>-2453772</v>
      </c>
      <c r="N173" s="224">
        <f t="shared" si="4"/>
        <v>8699489</v>
      </c>
      <c r="O173" s="241">
        <f t="shared" si="5"/>
        <v>65751123</v>
      </c>
    </row>
    <row r="174" spans="1:15" ht="13.8" x14ac:dyDescent="0.25">
      <c r="A174" s="219">
        <v>35105</v>
      </c>
      <c r="B174" s="221" t="s">
        <v>82</v>
      </c>
      <c r="C174" s="224">
        <v>34374732</v>
      </c>
      <c r="D174" s="224">
        <v>280174</v>
      </c>
      <c r="E174" s="224">
        <v>147301</v>
      </c>
      <c r="F174" s="224">
        <v>8278839</v>
      </c>
      <c r="G174" s="224">
        <v>1430965</v>
      </c>
      <c r="H174" s="224"/>
      <c r="J174" s="224">
        <v>4481763</v>
      </c>
      <c r="K174" s="224">
        <v>883606</v>
      </c>
      <c r="L174" s="224">
        <v>956039</v>
      </c>
      <c r="M174" s="224">
        <v>-60198</v>
      </c>
      <c r="N174" s="224">
        <f t="shared" si="4"/>
        <v>895841</v>
      </c>
      <c r="O174" s="241">
        <f t="shared" si="5"/>
        <v>5365369</v>
      </c>
    </row>
    <row r="175" spans="1:15" ht="13.8" x14ac:dyDescent="0.25">
      <c r="A175" s="219">
        <v>35106</v>
      </c>
      <c r="B175" s="221" t="s">
        <v>332</v>
      </c>
      <c r="C175" s="224">
        <v>7159398</v>
      </c>
      <c r="D175" s="224">
        <v>58353</v>
      </c>
      <c r="E175" s="224">
        <v>30679</v>
      </c>
      <c r="F175" s="224">
        <v>1724275</v>
      </c>
      <c r="G175" s="224">
        <v>35199</v>
      </c>
      <c r="H175" s="224"/>
      <c r="J175" s="224">
        <v>933439</v>
      </c>
      <c r="K175" s="224">
        <v>945225</v>
      </c>
      <c r="L175" s="224">
        <v>199119</v>
      </c>
      <c r="M175" s="224">
        <v>-390158</v>
      </c>
      <c r="N175" s="224">
        <f t="shared" si="4"/>
        <v>-191039</v>
      </c>
      <c r="O175" s="241">
        <f t="shared" si="5"/>
        <v>1878664</v>
      </c>
    </row>
    <row r="176" spans="1:15" ht="13.8" x14ac:dyDescent="0.25">
      <c r="A176" s="219">
        <v>35200</v>
      </c>
      <c r="B176" s="221" t="s">
        <v>333</v>
      </c>
      <c r="C176" s="224">
        <v>15102770</v>
      </c>
      <c r="D176" s="224">
        <v>123096</v>
      </c>
      <c r="E176" s="224">
        <v>64718</v>
      </c>
      <c r="F176" s="224">
        <v>3637364</v>
      </c>
      <c r="G176" s="224">
        <v>531186</v>
      </c>
      <c r="H176" s="224"/>
      <c r="J176" s="224">
        <v>1969093</v>
      </c>
      <c r="K176" s="224">
        <v>741624</v>
      </c>
      <c r="L176" s="224">
        <v>420041</v>
      </c>
      <c r="M176" s="224">
        <v>-269464</v>
      </c>
      <c r="N176" s="224">
        <f t="shared" si="4"/>
        <v>150577</v>
      </c>
      <c r="O176" s="241">
        <f t="shared" si="5"/>
        <v>2710717</v>
      </c>
    </row>
    <row r="177" spans="1:15" ht="13.8" x14ac:dyDescent="0.25">
      <c r="A177" s="219">
        <v>35300</v>
      </c>
      <c r="B177" s="221" t="s">
        <v>456</v>
      </c>
      <c r="C177" s="224">
        <v>108566302</v>
      </c>
      <c r="D177" s="224">
        <v>884879</v>
      </c>
      <c r="E177" s="224">
        <v>465224</v>
      </c>
      <c r="F177" s="224">
        <v>26147198</v>
      </c>
      <c r="G177" s="224">
        <v>3308726</v>
      </c>
      <c r="H177" s="224"/>
      <c r="J177" s="224">
        <v>14154829</v>
      </c>
      <c r="K177" s="224">
        <v>9596263</v>
      </c>
      <c r="L177" s="224">
        <v>3019470</v>
      </c>
      <c r="M177" s="224">
        <v>-3549882</v>
      </c>
      <c r="N177" s="224">
        <f t="shared" si="4"/>
        <v>-530412</v>
      </c>
      <c r="O177" s="241">
        <f t="shared" si="5"/>
        <v>23751092</v>
      </c>
    </row>
    <row r="178" spans="1:15" ht="13.8" x14ac:dyDescent="0.25">
      <c r="A178" s="220">
        <v>35305</v>
      </c>
      <c r="B178" s="222" t="s">
        <v>83</v>
      </c>
      <c r="C178" s="225">
        <v>45986508</v>
      </c>
      <c r="D178" s="233">
        <v>374817</v>
      </c>
      <c r="E178" s="233">
        <v>197060</v>
      </c>
      <c r="F178" s="233">
        <v>11075429</v>
      </c>
      <c r="G178" s="233">
        <v>2440204</v>
      </c>
      <c r="H178" s="233"/>
      <c r="J178" s="233">
        <v>5995702</v>
      </c>
      <c r="K178" s="233">
        <v>1075827</v>
      </c>
      <c r="L178" s="233">
        <v>1278987</v>
      </c>
      <c r="M178" s="233">
        <v>590801</v>
      </c>
      <c r="N178" s="224">
        <f t="shared" si="4"/>
        <v>1869788</v>
      </c>
      <c r="O178" s="241">
        <f t="shared" si="5"/>
        <v>7071529</v>
      </c>
    </row>
    <row r="179" spans="1:15" ht="13.8" x14ac:dyDescent="0.25">
      <c r="A179" s="220">
        <v>35400</v>
      </c>
      <c r="B179" s="222" t="s">
        <v>334</v>
      </c>
      <c r="C179" s="225">
        <v>96007650</v>
      </c>
      <c r="D179" s="233">
        <v>782518</v>
      </c>
      <c r="E179" s="233">
        <v>411408</v>
      </c>
      <c r="F179" s="233">
        <v>23122562</v>
      </c>
      <c r="G179" s="233">
        <v>7648911</v>
      </c>
      <c r="H179" s="233"/>
      <c r="J179" s="233">
        <v>12517437</v>
      </c>
      <c r="K179" s="233">
        <v>4267174</v>
      </c>
      <c r="L179" s="233">
        <v>2670187</v>
      </c>
      <c r="M179" s="233">
        <v>1188168</v>
      </c>
      <c r="N179" s="224">
        <f t="shared" si="4"/>
        <v>3858355</v>
      </c>
      <c r="O179" s="241">
        <f t="shared" si="5"/>
        <v>16784611</v>
      </c>
    </row>
    <row r="180" spans="1:15" ht="13.8" x14ac:dyDescent="0.25">
      <c r="A180" s="220">
        <v>35401</v>
      </c>
      <c r="B180" s="222" t="s">
        <v>335</v>
      </c>
      <c r="C180" s="225">
        <v>983365</v>
      </c>
      <c r="D180" s="233">
        <v>8015</v>
      </c>
      <c r="E180" s="233">
        <v>4214</v>
      </c>
      <c r="F180" s="233">
        <v>236834</v>
      </c>
      <c r="G180" s="233">
        <v>185012</v>
      </c>
      <c r="H180" s="233"/>
      <c r="J180" s="233">
        <v>128211</v>
      </c>
      <c r="K180" s="233">
        <v>249257</v>
      </c>
      <c r="L180" s="233">
        <v>27350</v>
      </c>
      <c r="M180" s="233">
        <v>9814</v>
      </c>
      <c r="N180" s="224">
        <f t="shared" si="4"/>
        <v>37164</v>
      </c>
      <c r="O180" s="241">
        <f t="shared" si="5"/>
        <v>377468</v>
      </c>
    </row>
    <row r="181" spans="1:15" ht="13.8" x14ac:dyDescent="0.25">
      <c r="A181" s="220">
        <v>35405</v>
      </c>
      <c r="B181" s="222" t="s">
        <v>84</v>
      </c>
      <c r="C181" s="225">
        <v>25293408</v>
      </c>
      <c r="D181" s="233">
        <v>206156</v>
      </c>
      <c r="E181" s="233">
        <v>108386</v>
      </c>
      <c r="F181" s="233">
        <v>6091685</v>
      </c>
      <c r="G181" s="233">
        <v>484387</v>
      </c>
      <c r="H181" s="233"/>
      <c r="J181" s="233">
        <v>3297744</v>
      </c>
      <c r="K181" s="233">
        <v>1558529</v>
      </c>
      <c r="L181" s="233">
        <v>703465</v>
      </c>
      <c r="M181" s="233">
        <v>-946468</v>
      </c>
      <c r="N181" s="224">
        <f t="shared" si="4"/>
        <v>-243003</v>
      </c>
      <c r="O181" s="241">
        <f t="shared" si="5"/>
        <v>4856273</v>
      </c>
    </row>
    <row r="182" spans="1:15" ht="13.8" x14ac:dyDescent="0.25">
      <c r="A182" s="220">
        <v>35500</v>
      </c>
      <c r="B182" s="222" t="s">
        <v>336</v>
      </c>
      <c r="C182" s="225">
        <v>130229917</v>
      </c>
      <c r="D182" s="233">
        <v>1061450</v>
      </c>
      <c r="E182" s="233">
        <v>558056</v>
      </c>
      <c r="F182" s="233">
        <v>31364681</v>
      </c>
      <c r="G182" s="233">
        <v>7835551</v>
      </c>
      <c r="H182" s="233"/>
      <c r="J182" s="233">
        <v>16979322</v>
      </c>
      <c r="K182" s="233">
        <v>1864947</v>
      </c>
      <c r="L182" s="233">
        <v>3621985</v>
      </c>
      <c r="M182" s="233">
        <v>876648</v>
      </c>
      <c r="N182" s="224">
        <f t="shared" si="4"/>
        <v>4498633</v>
      </c>
      <c r="O182" s="241">
        <f t="shared" si="5"/>
        <v>18844269</v>
      </c>
    </row>
    <row r="183" spans="1:15" ht="13.8" x14ac:dyDescent="0.25">
      <c r="A183" s="220">
        <v>35600</v>
      </c>
      <c r="B183" s="222" t="s">
        <v>337</v>
      </c>
      <c r="C183" s="225">
        <v>53101979</v>
      </c>
      <c r="D183" s="233">
        <v>432812</v>
      </c>
      <c r="E183" s="233">
        <v>227551</v>
      </c>
      <c r="F183" s="233">
        <v>12789125</v>
      </c>
      <c r="G183" s="233">
        <v>1759176</v>
      </c>
      <c r="H183" s="233"/>
      <c r="J183" s="233">
        <v>6923414</v>
      </c>
      <c r="K183" s="233">
        <v>790510</v>
      </c>
      <c r="L183" s="233">
        <v>1476883</v>
      </c>
      <c r="M183" s="233">
        <v>165203</v>
      </c>
      <c r="N183" s="224">
        <f t="shared" si="4"/>
        <v>1642086</v>
      </c>
      <c r="O183" s="241">
        <f t="shared" si="5"/>
        <v>7713924</v>
      </c>
    </row>
    <row r="184" spans="1:15" ht="13.8" x14ac:dyDescent="0.25">
      <c r="A184" s="219">
        <v>35700</v>
      </c>
      <c r="B184" s="221" t="s">
        <v>338</v>
      </c>
      <c r="C184" s="224">
        <v>29429795</v>
      </c>
      <c r="D184" s="224">
        <v>239870</v>
      </c>
      <c r="E184" s="224">
        <v>126111</v>
      </c>
      <c r="F184" s="224">
        <v>7087896</v>
      </c>
      <c r="G184" s="224">
        <v>1673406</v>
      </c>
      <c r="H184" s="224"/>
      <c r="J184" s="224">
        <v>3837044</v>
      </c>
      <c r="K184" s="224">
        <v>348848</v>
      </c>
      <c r="L184" s="224">
        <v>818508</v>
      </c>
      <c r="M184" s="224">
        <v>307527</v>
      </c>
      <c r="N184" s="224">
        <f t="shared" si="4"/>
        <v>1126035</v>
      </c>
      <c r="O184" s="241">
        <f t="shared" si="5"/>
        <v>4185892</v>
      </c>
    </row>
    <row r="185" spans="1:15" ht="13.8" x14ac:dyDescent="0.25">
      <c r="A185" s="219">
        <v>35800</v>
      </c>
      <c r="B185" s="221" t="s">
        <v>339</v>
      </c>
      <c r="C185" s="224">
        <v>35609249</v>
      </c>
      <c r="D185" s="224">
        <v>290236</v>
      </c>
      <c r="E185" s="224">
        <v>152591</v>
      </c>
      <c r="F185" s="224">
        <v>8576161</v>
      </c>
      <c r="G185" s="224">
        <v>1271050</v>
      </c>
      <c r="H185" s="224"/>
      <c r="J185" s="224">
        <v>4642719</v>
      </c>
      <c r="K185" s="224">
        <v>1134044</v>
      </c>
      <c r="L185" s="224">
        <v>990372</v>
      </c>
      <c r="M185" s="224">
        <v>-405876</v>
      </c>
      <c r="N185" s="224">
        <f t="shared" si="4"/>
        <v>584496</v>
      </c>
      <c r="O185" s="241">
        <f t="shared" si="5"/>
        <v>5776763</v>
      </c>
    </row>
    <row r="186" spans="1:15" ht="13.8" x14ac:dyDescent="0.25">
      <c r="A186" s="219">
        <v>35805</v>
      </c>
      <c r="B186" s="221" t="s">
        <v>85</v>
      </c>
      <c r="C186" s="224">
        <v>7155433</v>
      </c>
      <c r="D186" s="224">
        <v>58321</v>
      </c>
      <c r="E186" s="224">
        <v>30662</v>
      </c>
      <c r="F186" s="224">
        <v>1723320</v>
      </c>
      <c r="G186" s="224">
        <v>369008</v>
      </c>
      <c r="H186" s="224"/>
      <c r="J186" s="224">
        <v>932922</v>
      </c>
      <c r="K186" s="224">
        <v>353115</v>
      </c>
      <c r="L186" s="224">
        <v>199008</v>
      </c>
      <c r="M186" s="224">
        <v>35628</v>
      </c>
      <c r="N186" s="224">
        <f t="shared" si="4"/>
        <v>234636</v>
      </c>
      <c r="O186" s="241">
        <f t="shared" si="5"/>
        <v>1286037</v>
      </c>
    </row>
    <row r="187" spans="1:15" ht="13.8" x14ac:dyDescent="0.25">
      <c r="A187" s="219">
        <v>35900</v>
      </c>
      <c r="B187" s="221" t="s">
        <v>340</v>
      </c>
      <c r="C187" s="224">
        <v>66611205</v>
      </c>
      <c r="D187" s="224">
        <v>542920</v>
      </c>
      <c r="E187" s="224">
        <v>285440</v>
      </c>
      <c r="F187" s="224">
        <v>16042698</v>
      </c>
      <c r="G187" s="224">
        <v>728538</v>
      </c>
      <c r="H187" s="224"/>
      <c r="J187" s="224">
        <v>8684741</v>
      </c>
      <c r="K187" s="224">
        <v>2641177</v>
      </c>
      <c r="L187" s="224">
        <v>1852606</v>
      </c>
      <c r="M187" s="224">
        <v>-1501695</v>
      </c>
      <c r="N187" s="224">
        <f t="shared" si="4"/>
        <v>350911</v>
      </c>
      <c r="O187" s="241">
        <f t="shared" si="5"/>
        <v>11325918</v>
      </c>
    </row>
    <row r="188" spans="1:15" ht="13.8" x14ac:dyDescent="0.25">
      <c r="A188" s="219">
        <v>35905</v>
      </c>
      <c r="B188" s="221" t="s">
        <v>86</v>
      </c>
      <c r="C188" s="224">
        <v>10578300</v>
      </c>
      <c r="D188" s="224">
        <v>86219</v>
      </c>
      <c r="E188" s="224">
        <v>45330</v>
      </c>
      <c r="F188" s="224">
        <v>2547686</v>
      </c>
      <c r="G188" s="224">
        <v>1796443</v>
      </c>
      <c r="H188" s="224"/>
      <c r="J188" s="224">
        <v>1379194</v>
      </c>
      <c r="K188" s="224">
        <v>166177</v>
      </c>
      <c r="L188" s="224">
        <v>294207</v>
      </c>
      <c r="M188" s="224">
        <v>332967</v>
      </c>
      <c r="N188" s="224">
        <f t="shared" si="4"/>
        <v>627174</v>
      </c>
      <c r="O188" s="241">
        <f t="shared" si="5"/>
        <v>1545371</v>
      </c>
    </row>
    <row r="189" spans="1:15" ht="13.8" x14ac:dyDescent="0.25">
      <c r="A189" s="219">
        <v>36000</v>
      </c>
      <c r="B189" s="221" t="s">
        <v>341</v>
      </c>
      <c r="C189" s="224">
        <v>1721192927</v>
      </c>
      <c r="D189" s="224">
        <v>14028727</v>
      </c>
      <c r="E189" s="224">
        <v>7375592</v>
      </c>
      <c r="F189" s="224">
        <v>414533536</v>
      </c>
      <c r="G189" s="224">
        <v>5266546</v>
      </c>
      <c r="H189" s="224"/>
      <c r="J189" s="224">
        <v>224408415</v>
      </c>
      <c r="K189" s="224">
        <v>81417172</v>
      </c>
      <c r="L189" s="224">
        <v>47870203</v>
      </c>
      <c r="M189" s="224">
        <v>-29916341</v>
      </c>
      <c r="N189" s="224">
        <f t="shared" si="4"/>
        <v>17953862</v>
      </c>
      <c r="O189" s="241">
        <f t="shared" si="5"/>
        <v>305825587</v>
      </c>
    </row>
    <row r="190" spans="1:15" ht="13.8" x14ac:dyDescent="0.25">
      <c r="A190" s="220">
        <v>36003</v>
      </c>
      <c r="B190" s="222" t="s">
        <v>342</v>
      </c>
      <c r="C190" s="226">
        <v>13467768</v>
      </c>
      <c r="D190" s="226">
        <v>109770</v>
      </c>
      <c r="E190" s="226">
        <v>57712</v>
      </c>
      <c r="F190" s="226">
        <v>3243588</v>
      </c>
      <c r="G190" s="226">
        <v>895627</v>
      </c>
      <c r="H190" s="226"/>
      <c r="J190" s="226">
        <v>1755922</v>
      </c>
      <c r="K190" s="226">
        <v>263831</v>
      </c>
      <c r="L190" s="226">
        <v>374569</v>
      </c>
      <c r="M190" s="233">
        <v>126456</v>
      </c>
      <c r="N190" s="224">
        <f t="shared" si="4"/>
        <v>501025</v>
      </c>
      <c r="O190" s="241">
        <f t="shared" si="5"/>
        <v>2019753</v>
      </c>
    </row>
    <row r="191" spans="1:15" ht="13.8" x14ac:dyDescent="0.25">
      <c r="A191" s="220">
        <v>36004</v>
      </c>
      <c r="B191" s="222" t="s">
        <v>483</v>
      </c>
      <c r="C191" s="226">
        <v>8774374</v>
      </c>
      <c r="D191" s="226">
        <v>71516</v>
      </c>
      <c r="E191" s="226">
        <v>37600</v>
      </c>
      <c r="F191" s="226">
        <v>2113228</v>
      </c>
      <c r="G191" s="226">
        <v>553225</v>
      </c>
      <c r="H191" s="226"/>
      <c r="J191" s="226">
        <v>1143999</v>
      </c>
      <c r="K191" s="226">
        <v>1088721</v>
      </c>
      <c r="L191" s="226">
        <v>244035</v>
      </c>
      <c r="M191" s="233">
        <v>219161</v>
      </c>
      <c r="N191" s="224">
        <f t="shared" si="4"/>
        <v>463196</v>
      </c>
      <c r="O191" s="241">
        <f t="shared" si="5"/>
        <v>2232720</v>
      </c>
    </row>
    <row r="192" spans="1:15" ht="13.8" x14ac:dyDescent="0.25">
      <c r="A192" s="220">
        <v>36005</v>
      </c>
      <c r="B192" s="222" t="s">
        <v>87</v>
      </c>
      <c r="C192" s="225">
        <v>125595957</v>
      </c>
      <c r="D192" s="233">
        <v>1023680</v>
      </c>
      <c r="E192" s="233">
        <v>538199</v>
      </c>
      <c r="F192" s="233">
        <v>30248635</v>
      </c>
      <c r="G192" s="233">
        <v>687828</v>
      </c>
      <c r="H192" s="233"/>
      <c r="J192" s="233">
        <v>16375148</v>
      </c>
      <c r="K192" s="233">
        <v>5907612</v>
      </c>
      <c r="L192" s="233">
        <v>3493101</v>
      </c>
      <c r="M192" s="233">
        <v>-4423977</v>
      </c>
      <c r="N192" s="224">
        <f t="shared" si="4"/>
        <v>-930876</v>
      </c>
      <c r="O192" s="241">
        <f t="shared" si="5"/>
        <v>22282760</v>
      </c>
    </row>
    <row r="193" spans="1:15" ht="13.8" x14ac:dyDescent="0.25">
      <c r="A193" s="220">
        <v>36006</v>
      </c>
      <c r="B193" s="222" t="s">
        <v>343</v>
      </c>
      <c r="C193" s="225">
        <v>24409030</v>
      </c>
      <c r="D193" s="233">
        <v>198948</v>
      </c>
      <c r="E193" s="233">
        <v>104597</v>
      </c>
      <c r="F193" s="233">
        <v>5878691</v>
      </c>
      <c r="G193" s="233">
        <v>1477241</v>
      </c>
      <c r="H193" s="233"/>
      <c r="J193" s="233">
        <v>3182439</v>
      </c>
      <c r="K193" s="233">
        <v>0</v>
      </c>
      <c r="L193" s="233">
        <v>678871</v>
      </c>
      <c r="M193" s="233">
        <v>719453</v>
      </c>
      <c r="N193" s="224">
        <f t="shared" si="4"/>
        <v>1398324</v>
      </c>
      <c r="O193" s="241">
        <f t="shared" si="5"/>
        <v>3182439</v>
      </c>
    </row>
    <row r="194" spans="1:15" ht="13.8" x14ac:dyDescent="0.25">
      <c r="A194" s="220">
        <v>36007</v>
      </c>
      <c r="B194" s="222" t="s">
        <v>344</v>
      </c>
      <c r="C194" s="225">
        <v>7885145</v>
      </c>
      <c r="D194" s="233">
        <v>64269</v>
      </c>
      <c r="E194" s="233">
        <v>33789</v>
      </c>
      <c r="F194" s="233">
        <v>1899065</v>
      </c>
      <c r="G194" s="226">
        <v>808062</v>
      </c>
      <c r="H194" s="233"/>
      <c r="J194" s="233">
        <v>1028062</v>
      </c>
      <c r="K194" s="233">
        <v>305941</v>
      </c>
      <c r="L194" s="233">
        <v>219302</v>
      </c>
      <c r="M194" s="233">
        <v>332804</v>
      </c>
      <c r="N194" s="224">
        <f t="shared" si="4"/>
        <v>552106</v>
      </c>
      <c r="O194" s="241">
        <f t="shared" si="5"/>
        <v>1334003</v>
      </c>
    </row>
    <row r="195" spans="1:15" ht="13.8" x14ac:dyDescent="0.25">
      <c r="A195" s="220">
        <v>36008</v>
      </c>
      <c r="B195" s="222" t="s">
        <v>345</v>
      </c>
      <c r="C195" s="225">
        <v>20082329</v>
      </c>
      <c r="D195" s="233">
        <v>163683</v>
      </c>
      <c r="E195" s="233">
        <v>86056</v>
      </c>
      <c r="F195" s="233">
        <v>4836645</v>
      </c>
      <c r="G195" s="233">
        <v>726493</v>
      </c>
      <c r="H195" s="233"/>
      <c r="J195" s="233">
        <v>2618326</v>
      </c>
      <c r="K195" s="226">
        <v>120146</v>
      </c>
      <c r="L195" s="233">
        <v>558534</v>
      </c>
      <c r="M195" s="233">
        <v>231052</v>
      </c>
      <c r="N195" s="224">
        <f t="shared" si="4"/>
        <v>789586</v>
      </c>
      <c r="O195" s="241">
        <f t="shared" si="5"/>
        <v>2738472</v>
      </c>
    </row>
    <row r="196" spans="1:15" ht="13.8" x14ac:dyDescent="0.25">
      <c r="A196" s="219">
        <v>36009</v>
      </c>
      <c r="B196" s="221" t="s">
        <v>346</v>
      </c>
      <c r="C196" s="224">
        <v>1846975</v>
      </c>
      <c r="D196" s="224">
        <v>15054</v>
      </c>
      <c r="E196" s="224">
        <v>7915</v>
      </c>
      <c r="F196" s="224">
        <v>444827</v>
      </c>
      <c r="G196" s="224">
        <v>30044</v>
      </c>
      <c r="H196" s="224"/>
      <c r="J196" s="224">
        <v>240808</v>
      </c>
      <c r="K196" s="224">
        <v>863499</v>
      </c>
      <c r="L196" s="224">
        <v>51371</v>
      </c>
      <c r="M196" s="224">
        <v>-476165</v>
      </c>
      <c r="N196" s="224">
        <f t="shared" si="4"/>
        <v>-424794</v>
      </c>
      <c r="O196" s="241">
        <f t="shared" si="5"/>
        <v>1104307</v>
      </c>
    </row>
    <row r="197" spans="1:15" ht="13.8" x14ac:dyDescent="0.25">
      <c r="A197" s="219">
        <v>36100</v>
      </c>
      <c r="B197" s="221" t="s">
        <v>347</v>
      </c>
      <c r="C197" s="224">
        <v>22244312</v>
      </c>
      <c r="D197" s="224">
        <v>181304</v>
      </c>
      <c r="E197" s="224">
        <v>95321</v>
      </c>
      <c r="F197" s="224">
        <v>5357339</v>
      </c>
      <c r="G197" s="224">
        <v>1194085</v>
      </c>
      <c r="H197" s="224"/>
      <c r="J197" s="224">
        <v>2900204</v>
      </c>
      <c r="K197" s="224">
        <v>635640</v>
      </c>
      <c r="L197" s="224">
        <v>618663</v>
      </c>
      <c r="M197" s="224">
        <v>57460</v>
      </c>
      <c r="N197" s="224">
        <f t="shared" ref="N197:N260" si="6">L197+M197</f>
        <v>676123</v>
      </c>
      <c r="O197" s="241">
        <f t="shared" ref="O197:O260" si="7">SUM(H197:K197)</f>
        <v>3535844</v>
      </c>
    </row>
    <row r="198" spans="1:15" ht="13.8" x14ac:dyDescent="0.25">
      <c r="A198" s="219">
        <v>36102</v>
      </c>
      <c r="B198" s="221" t="s">
        <v>348</v>
      </c>
      <c r="C198" s="224">
        <v>0</v>
      </c>
      <c r="D198" s="224">
        <v>0</v>
      </c>
      <c r="E198" s="224">
        <v>0</v>
      </c>
      <c r="F198" s="224">
        <v>0</v>
      </c>
      <c r="G198" s="224">
        <v>256075</v>
      </c>
      <c r="H198" s="224"/>
      <c r="J198" s="224">
        <v>0</v>
      </c>
      <c r="K198" s="224">
        <v>3728078</v>
      </c>
      <c r="L198" s="224">
        <v>0</v>
      </c>
      <c r="M198" s="224">
        <v>-1550309</v>
      </c>
      <c r="N198" s="224">
        <f t="shared" si="6"/>
        <v>-1550309</v>
      </c>
      <c r="O198" s="241">
        <f t="shared" si="7"/>
        <v>3728078</v>
      </c>
    </row>
    <row r="199" spans="1:15" ht="13.8" x14ac:dyDescent="0.25">
      <c r="A199" s="219">
        <v>36105</v>
      </c>
      <c r="B199" s="221" t="s">
        <v>88</v>
      </c>
      <c r="C199" s="224">
        <v>9476969</v>
      </c>
      <c r="D199" s="224">
        <v>77243</v>
      </c>
      <c r="E199" s="224">
        <v>40610</v>
      </c>
      <c r="F199" s="224">
        <v>2282441</v>
      </c>
      <c r="G199" s="224">
        <v>255857</v>
      </c>
      <c r="H199" s="224"/>
      <c r="J199" s="224">
        <v>1235603</v>
      </c>
      <c r="K199" s="224">
        <v>738414</v>
      </c>
      <c r="L199" s="224">
        <v>263575</v>
      </c>
      <c r="M199" s="224">
        <v>-425125</v>
      </c>
      <c r="N199" s="224">
        <f t="shared" si="6"/>
        <v>-161550</v>
      </c>
      <c r="O199" s="241">
        <f t="shared" si="7"/>
        <v>1974017</v>
      </c>
    </row>
    <row r="200" spans="1:15" ht="13.8" x14ac:dyDescent="0.25">
      <c r="A200" s="219">
        <v>36200</v>
      </c>
      <c r="B200" s="221" t="s">
        <v>349</v>
      </c>
      <c r="C200" s="224">
        <v>38702130</v>
      </c>
      <c r="D200" s="224">
        <v>315445</v>
      </c>
      <c r="E200" s="224">
        <v>165845</v>
      </c>
      <c r="F200" s="224">
        <v>9321053</v>
      </c>
      <c r="G200" s="224">
        <v>552002</v>
      </c>
      <c r="H200" s="224"/>
      <c r="J200" s="224">
        <v>5045968</v>
      </c>
      <c r="K200" s="224">
        <v>1613682</v>
      </c>
      <c r="L200" s="224">
        <v>1076391</v>
      </c>
      <c r="M200" s="224">
        <v>-1484989</v>
      </c>
      <c r="N200" s="224">
        <f t="shared" si="6"/>
        <v>-408598</v>
      </c>
      <c r="O200" s="241">
        <f t="shared" si="7"/>
        <v>6659650</v>
      </c>
    </row>
    <row r="201" spans="1:15" ht="13.8" x14ac:dyDescent="0.25">
      <c r="A201" s="219">
        <v>36205</v>
      </c>
      <c r="B201" s="221" t="s">
        <v>89</v>
      </c>
      <c r="C201" s="224">
        <v>8649871</v>
      </c>
      <c r="D201" s="224">
        <v>70501</v>
      </c>
      <c r="E201" s="224">
        <v>37066</v>
      </c>
      <c r="F201" s="224">
        <v>2083242</v>
      </c>
      <c r="G201" s="224">
        <v>409317</v>
      </c>
      <c r="H201" s="224"/>
      <c r="J201" s="224">
        <v>1127767</v>
      </c>
      <c r="K201" s="224">
        <v>450602</v>
      </c>
      <c r="L201" s="224">
        <v>240573</v>
      </c>
      <c r="M201" s="224">
        <v>33460</v>
      </c>
      <c r="N201" s="224">
        <f t="shared" si="6"/>
        <v>274033</v>
      </c>
      <c r="O201" s="241">
        <f t="shared" si="7"/>
        <v>1578369</v>
      </c>
    </row>
    <row r="202" spans="1:15" ht="13.8" x14ac:dyDescent="0.25">
      <c r="A202" s="220">
        <v>36300</v>
      </c>
      <c r="B202" s="222" t="s">
        <v>350</v>
      </c>
      <c r="C202" s="225">
        <v>142318709</v>
      </c>
      <c r="D202" s="233">
        <v>1159981</v>
      </c>
      <c r="E202" s="233">
        <v>609859</v>
      </c>
      <c r="F202" s="233">
        <v>34276156</v>
      </c>
      <c r="G202" s="233">
        <v>1843300</v>
      </c>
      <c r="H202" s="233"/>
      <c r="J202" s="233">
        <v>18555454</v>
      </c>
      <c r="K202" s="233">
        <v>4415004</v>
      </c>
      <c r="L202" s="233">
        <v>3958199</v>
      </c>
      <c r="M202" s="233">
        <v>-1784823</v>
      </c>
      <c r="N202" s="224">
        <f t="shared" si="6"/>
        <v>2173376</v>
      </c>
      <c r="O202" s="241">
        <f t="shared" si="7"/>
        <v>22970458</v>
      </c>
    </row>
    <row r="203" spans="1:15" ht="13.8" x14ac:dyDescent="0.25">
      <c r="A203" s="220">
        <v>36301</v>
      </c>
      <c r="B203" s="222" t="s">
        <v>351</v>
      </c>
      <c r="C203" s="225">
        <v>4333085</v>
      </c>
      <c r="D203" s="233">
        <v>35317</v>
      </c>
      <c r="E203" s="233">
        <v>18568</v>
      </c>
      <c r="F203" s="233">
        <v>1043584</v>
      </c>
      <c r="G203" s="233">
        <v>643564</v>
      </c>
      <c r="H203" s="233"/>
      <c r="J203" s="233">
        <v>564946</v>
      </c>
      <c r="K203" s="233">
        <v>90510</v>
      </c>
      <c r="L203" s="233">
        <v>120512</v>
      </c>
      <c r="M203" s="233">
        <v>339987</v>
      </c>
      <c r="N203" s="224">
        <f t="shared" si="6"/>
        <v>460499</v>
      </c>
      <c r="O203" s="241">
        <f t="shared" si="7"/>
        <v>655456</v>
      </c>
    </row>
    <row r="204" spans="1:15" ht="13.8" x14ac:dyDescent="0.25">
      <c r="A204" s="220">
        <v>36302</v>
      </c>
      <c r="B204" s="222" t="s">
        <v>352</v>
      </c>
      <c r="C204" s="225">
        <v>6864673</v>
      </c>
      <c r="D204" s="233">
        <v>55951</v>
      </c>
      <c r="E204" s="233">
        <v>29416</v>
      </c>
      <c r="F204" s="233">
        <v>1653293</v>
      </c>
      <c r="G204" s="233">
        <v>1041816</v>
      </c>
      <c r="H204" s="233"/>
      <c r="J204" s="233">
        <v>895013</v>
      </c>
      <c r="K204" s="233">
        <v>59540</v>
      </c>
      <c r="L204" s="233">
        <v>190921</v>
      </c>
      <c r="M204" s="233">
        <v>550943</v>
      </c>
      <c r="N204" s="224">
        <f t="shared" si="6"/>
        <v>741864</v>
      </c>
      <c r="O204" s="241">
        <f t="shared" si="7"/>
        <v>954553</v>
      </c>
    </row>
    <row r="205" spans="1:15" ht="13.8" x14ac:dyDescent="0.25">
      <c r="A205" s="220">
        <v>36303</v>
      </c>
      <c r="B205" s="222" t="s">
        <v>242</v>
      </c>
      <c r="C205" s="225">
        <v>9626934</v>
      </c>
      <c r="D205" s="233">
        <v>78465</v>
      </c>
      <c r="E205" s="233">
        <v>41253</v>
      </c>
      <c r="F205" s="233">
        <v>2318559</v>
      </c>
      <c r="G205" s="233">
        <v>1354584</v>
      </c>
      <c r="H205" s="233"/>
      <c r="J205" s="233">
        <v>1255156</v>
      </c>
      <c r="K205" s="233">
        <v>0</v>
      </c>
      <c r="L205" s="233">
        <v>267748</v>
      </c>
      <c r="M205" s="233">
        <v>889762</v>
      </c>
      <c r="N205" s="224">
        <f t="shared" si="6"/>
        <v>1157510</v>
      </c>
      <c r="O205" s="241">
        <f t="shared" si="7"/>
        <v>1255156</v>
      </c>
    </row>
    <row r="206" spans="1:15" ht="13.8" x14ac:dyDescent="0.25">
      <c r="A206" s="220">
        <v>36305</v>
      </c>
      <c r="B206" s="222" t="s">
        <v>90</v>
      </c>
      <c r="C206" s="225">
        <v>29834323</v>
      </c>
      <c r="D206" s="233">
        <v>243167</v>
      </c>
      <c r="E206" s="233">
        <v>127845</v>
      </c>
      <c r="F206" s="233">
        <v>7185323</v>
      </c>
      <c r="G206" s="233">
        <v>1848541</v>
      </c>
      <c r="H206" s="233"/>
      <c r="J206" s="233">
        <v>3889787</v>
      </c>
      <c r="K206" s="226">
        <v>42891</v>
      </c>
      <c r="L206" s="233">
        <v>829758</v>
      </c>
      <c r="M206" s="233">
        <v>616602</v>
      </c>
      <c r="N206" s="224">
        <f t="shared" si="6"/>
        <v>1446360</v>
      </c>
      <c r="O206" s="241">
        <f t="shared" si="7"/>
        <v>3932678</v>
      </c>
    </row>
    <row r="207" spans="1:15" ht="13.8" x14ac:dyDescent="0.25">
      <c r="A207" s="220">
        <v>36400</v>
      </c>
      <c r="B207" s="223" t="s">
        <v>353</v>
      </c>
      <c r="C207" s="225">
        <v>151149894</v>
      </c>
      <c r="D207" s="233">
        <v>1231960</v>
      </c>
      <c r="E207" s="233">
        <v>647702</v>
      </c>
      <c r="F207" s="233">
        <v>36403066</v>
      </c>
      <c r="G207" s="233">
        <v>4777038</v>
      </c>
      <c r="H207" s="233"/>
      <c r="J207" s="233">
        <v>19706860</v>
      </c>
      <c r="K207" s="226">
        <v>4938789</v>
      </c>
      <c r="L207" s="233">
        <v>4203815</v>
      </c>
      <c r="M207" s="233">
        <v>-2685779</v>
      </c>
      <c r="N207" s="224">
        <f t="shared" si="6"/>
        <v>1518036</v>
      </c>
      <c r="O207" s="241">
        <f t="shared" si="7"/>
        <v>24645649</v>
      </c>
    </row>
    <row r="208" spans="1:15" ht="13.8" x14ac:dyDescent="0.25">
      <c r="A208" s="219">
        <v>36401</v>
      </c>
      <c r="B208" s="221" t="s">
        <v>840</v>
      </c>
      <c r="C208" s="224">
        <v>0</v>
      </c>
      <c r="D208" s="224">
        <v>0</v>
      </c>
      <c r="E208" s="224">
        <v>0</v>
      </c>
      <c r="F208" s="224">
        <v>0</v>
      </c>
      <c r="G208" s="224">
        <v>59192</v>
      </c>
      <c r="H208" s="224"/>
      <c r="J208" s="224">
        <v>0</v>
      </c>
      <c r="K208" s="224">
        <v>0</v>
      </c>
      <c r="L208" s="224">
        <v>0</v>
      </c>
      <c r="M208" s="224">
        <v>14797</v>
      </c>
      <c r="N208" s="224">
        <f t="shared" si="6"/>
        <v>14797</v>
      </c>
      <c r="O208" s="241">
        <f t="shared" si="7"/>
        <v>0</v>
      </c>
    </row>
    <row r="209" spans="1:15" ht="13.8" x14ac:dyDescent="0.25">
      <c r="A209" s="219">
        <v>36405</v>
      </c>
      <c r="B209" s="221" t="s">
        <v>484</v>
      </c>
      <c r="C209" s="224">
        <v>19859740</v>
      </c>
      <c r="D209" s="224">
        <v>161868</v>
      </c>
      <c r="E209" s="224">
        <v>85102</v>
      </c>
      <c r="F209" s="224">
        <v>4783036</v>
      </c>
      <c r="G209" s="224">
        <v>0</v>
      </c>
      <c r="H209" s="224"/>
      <c r="J209" s="224">
        <v>2589305</v>
      </c>
      <c r="K209" s="224">
        <v>2657920</v>
      </c>
      <c r="L209" s="224">
        <v>552343</v>
      </c>
      <c r="M209" s="224">
        <v>-1500092</v>
      </c>
      <c r="N209" s="224">
        <f t="shared" si="6"/>
        <v>-947749</v>
      </c>
      <c r="O209" s="241">
        <f t="shared" si="7"/>
        <v>5247225</v>
      </c>
    </row>
    <row r="210" spans="1:15" ht="13.8" x14ac:dyDescent="0.25">
      <c r="A210" s="219">
        <v>36500</v>
      </c>
      <c r="B210" s="221" t="s">
        <v>354</v>
      </c>
      <c r="C210" s="224">
        <v>327148413</v>
      </c>
      <c r="D210" s="224">
        <v>2666451</v>
      </c>
      <c r="E210" s="224">
        <v>1401884</v>
      </c>
      <c r="F210" s="224">
        <v>78790697</v>
      </c>
      <c r="G210" s="224">
        <v>13746770</v>
      </c>
      <c r="H210" s="224"/>
      <c r="J210" s="224">
        <v>42653474</v>
      </c>
      <c r="K210" s="224">
        <v>13833689</v>
      </c>
      <c r="L210" s="224">
        <v>9098725</v>
      </c>
      <c r="M210" s="224">
        <v>-1824413</v>
      </c>
      <c r="N210" s="224">
        <f t="shared" si="6"/>
        <v>7274312</v>
      </c>
      <c r="O210" s="241">
        <f t="shared" si="7"/>
        <v>56487163</v>
      </c>
    </row>
    <row r="211" spans="1:15" ht="13.8" x14ac:dyDescent="0.25">
      <c r="A211" s="219">
        <v>36501</v>
      </c>
      <c r="B211" s="221" t="s">
        <v>457</v>
      </c>
      <c r="C211" s="224">
        <v>4489376</v>
      </c>
      <c r="D211" s="224">
        <v>36591</v>
      </c>
      <c r="E211" s="224">
        <v>19238</v>
      </c>
      <c r="F211" s="224">
        <v>1081225</v>
      </c>
      <c r="G211" s="224">
        <v>286640</v>
      </c>
      <c r="H211" s="224"/>
      <c r="J211" s="224">
        <v>585323</v>
      </c>
      <c r="K211" s="224">
        <v>215540</v>
      </c>
      <c r="L211" s="224">
        <v>124859</v>
      </c>
      <c r="M211" s="224">
        <v>-31370</v>
      </c>
      <c r="N211" s="224">
        <f t="shared" si="6"/>
        <v>93489</v>
      </c>
      <c r="O211" s="241">
        <f t="shared" si="7"/>
        <v>800863</v>
      </c>
    </row>
    <row r="212" spans="1:15" ht="13.8" x14ac:dyDescent="0.25">
      <c r="A212" s="219">
        <v>36502</v>
      </c>
      <c r="B212" s="221" t="s">
        <v>838</v>
      </c>
      <c r="C212" s="224">
        <v>633124</v>
      </c>
      <c r="D212" s="224">
        <v>5160</v>
      </c>
      <c r="E212" s="224">
        <v>2713</v>
      </c>
      <c r="F212" s="224">
        <v>152482</v>
      </c>
      <c r="G212" s="224">
        <v>0</v>
      </c>
      <c r="H212" s="224"/>
      <c r="J212" s="224">
        <v>82546</v>
      </c>
      <c r="K212" s="224">
        <v>480155</v>
      </c>
      <c r="L212" s="224">
        <v>17609</v>
      </c>
      <c r="M212" s="224">
        <v>-199438</v>
      </c>
      <c r="N212" s="224">
        <f t="shared" si="6"/>
        <v>-181829</v>
      </c>
      <c r="O212" s="241">
        <f t="shared" si="7"/>
        <v>562701</v>
      </c>
    </row>
    <row r="213" spans="1:15" ht="13.8" x14ac:dyDescent="0.25">
      <c r="A213" s="219">
        <v>36505</v>
      </c>
      <c r="B213" s="221" t="s">
        <v>92</v>
      </c>
      <c r="C213" s="224">
        <v>60889501</v>
      </c>
      <c r="D213" s="224">
        <v>496285</v>
      </c>
      <c r="E213" s="224">
        <v>260921</v>
      </c>
      <c r="F213" s="224">
        <v>14664678</v>
      </c>
      <c r="G213" s="224">
        <v>2563422</v>
      </c>
      <c r="H213" s="224"/>
      <c r="J213" s="224">
        <v>7938748</v>
      </c>
      <c r="K213" s="224">
        <v>1650814</v>
      </c>
      <c r="L213" s="224">
        <v>1693473</v>
      </c>
      <c r="M213" s="224">
        <v>-301034</v>
      </c>
      <c r="N213" s="224">
        <f t="shared" si="6"/>
        <v>1392439</v>
      </c>
      <c r="O213" s="241">
        <f t="shared" si="7"/>
        <v>9589562</v>
      </c>
    </row>
    <row r="214" spans="1:15" ht="13.8" x14ac:dyDescent="0.25">
      <c r="A214" s="220">
        <v>36600</v>
      </c>
      <c r="B214" s="223" t="s">
        <v>355</v>
      </c>
      <c r="C214" s="225">
        <v>15759240</v>
      </c>
      <c r="D214" s="233">
        <v>128447</v>
      </c>
      <c r="E214" s="233">
        <v>67531</v>
      </c>
      <c r="F214" s="233">
        <v>3795469</v>
      </c>
      <c r="G214" s="226">
        <v>290052</v>
      </c>
      <c r="H214" s="233"/>
      <c r="J214" s="233">
        <v>2054683</v>
      </c>
      <c r="K214" s="233">
        <v>2570566</v>
      </c>
      <c r="L214" s="233">
        <v>438299</v>
      </c>
      <c r="M214" s="233">
        <v>-1354569</v>
      </c>
      <c r="N214" s="224">
        <f t="shared" si="6"/>
        <v>-916270</v>
      </c>
      <c r="O214" s="241">
        <f t="shared" si="7"/>
        <v>4625249</v>
      </c>
    </row>
    <row r="215" spans="1:15" ht="13.8" x14ac:dyDescent="0.25">
      <c r="A215" s="220">
        <v>36601</v>
      </c>
      <c r="B215" s="222" t="s">
        <v>356</v>
      </c>
      <c r="C215" s="225">
        <v>0</v>
      </c>
      <c r="D215" s="233">
        <v>0</v>
      </c>
      <c r="E215" s="233">
        <v>0</v>
      </c>
      <c r="F215" s="233">
        <v>0</v>
      </c>
      <c r="G215" s="233">
        <v>0</v>
      </c>
      <c r="H215" s="233"/>
      <c r="J215" s="233">
        <v>0</v>
      </c>
      <c r="K215" s="233">
        <v>5049209</v>
      </c>
      <c r="L215" s="233">
        <v>0</v>
      </c>
      <c r="M215" s="233">
        <v>-2822689</v>
      </c>
      <c r="N215" s="224">
        <f t="shared" si="6"/>
        <v>-2822689</v>
      </c>
      <c r="O215" s="241">
        <f t="shared" si="7"/>
        <v>5049209</v>
      </c>
    </row>
    <row r="216" spans="1:15" ht="13.8" x14ac:dyDescent="0.25">
      <c r="A216" s="220">
        <v>36700</v>
      </c>
      <c r="B216" s="222" t="s">
        <v>357</v>
      </c>
      <c r="C216" s="225">
        <v>273425055</v>
      </c>
      <c r="D216" s="233">
        <v>2228574</v>
      </c>
      <c r="E216" s="233">
        <v>1171671</v>
      </c>
      <c r="F216" s="233">
        <v>65851919</v>
      </c>
      <c r="G216" s="233">
        <v>8649291</v>
      </c>
      <c r="H216" s="233"/>
      <c r="J216" s="233">
        <v>35649045</v>
      </c>
      <c r="K216" s="233">
        <v>9915211</v>
      </c>
      <c r="L216" s="233">
        <v>7604558</v>
      </c>
      <c r="M216" s="233">
        <v>-2603441</v>
      </c>
      <c r="N216" s="224">
        <f t="shared" si="6"/>
        <v>5001117</v>
      </c>
      <c r="O216" s="241">
        <f t="shared" si="7"/>
        <v>45564256</v>
      </c>
    </row>
    <row r="217" spans="1:15" ht="13.8" x14ac:dyDescent="0.25">
      <c r="A217" s="220">
        <v>36701</v>
      </c>
      <c r="B217" s="222" t="s">
        <v>358</v>
      </c>
      <c r="C217" s="226">
        <v>884487</v>
      </c>
      <c r="D217" s="226">
        <v>7209</v>
      </c>
      <c r="E217" s="226">
        <v>3790</v>
      </c>
      <c r="F217" s="226">
        <v>213021</v>
      </c>
      <c r="G217" s="226">
        <v>204583</v>
      </c>
      <c r="H217" s="226"/>
      <c r="J217" s="226">
        <v>115319</v>
      </c>
      <c r="K217" s="226">
        <v>412685</v>
      </c>
      <c r="L217" s="226">
        <v>24600</v>
      </c>
      <c r="M217" s="233">
        <v>-30918</v>
      </c>
      <c r="N217" s="224">
        <f t="shared" si="6"/>
        <v>-6318</v>
      </c>
      <c r="O217" s="241">
        <f t="shared" si="7"/>
        <v>528004</v>
      </c>
    </row>
    <row r="218" spans="1:15" ht="13.8" x14ac:dyDescent="0.25">
      <c r="A218" s="220">
        <v>36705</v>
      </c>
      <c r="B218" s="222" t="s">
        <v>93</v>
      </c>
      <c r="C218" s="225">
        <v>25984625</v>
      </c>
      <c r="D218" s="233">
        <v>211790</v>
      </c>
      <c r="E218" s="233">
        <v>111348</v>
      </c>
      <c r="F218" s="233">
        <v>6258159</v>
      </c>
      <c r="G218" s="233">
        <v>1079982</v>
      </c>
      <c r="H218" s="233"/>
      <c r="J218" s="233">
        <v>3387865</v>
      </c>
      <c r="K218" s="233">
        <v>4178256</v>
      </c>
      <c r="L218" s="233">
        <v>722689</v>
      </c>
      <c r="M218" s="233">
        <v>-1314912</v>
      </c>
      <c r="N218" s="224">
        <f t="shared" si="6"/>
        <v>-592223</v>
      </c>
      <c r="O218" s="241">
        <f t="shared" si="7"/>
        <v>7566121</v>
      </c>
    </row>
    <row r="219" spans="1:15" ht="13.8" x14ac:dyDescent="0.25">
      <c r="A219" s="220">
        <v>36800</v>
      </c>
      <c r="B219" s="222" t="s">
        <v>359</v>
      </c>
      <c r="C219" s="225">
        <v>102747581</v>
      </c>
      <c r="D219" s="233">
        <v>837453</v>
      </c>
      <c r="E219" s="233">
        <v>440290</v>
      </c>
      <c r="F219" s="233">
        <v>24745813</v>
      </c>
      <c r="G219" s="233">
        <v>2601927</v>
      </c>
      <c r="H219" s="233"/>
      <c r="J219" s="233">
        <v>13396187</v>
      </c>
      <c r="K219" s="233">
        <v>1547205</v>
      </c>
      <c r="L219" s="233">
        <v>2857639</v>
      </c>
      <c r="M219" s="233">
        <v>-1319328</v>
      </c>
      <c r="N219" s="224">
        <f t="shared" si="6"/>
        <v>1538311</v>
      </c>
      <c r="O219" s="241">
        <f t="shared" si="7"/>
        <v>14943392</v>
      </c>
    </row>
    <row r="220" spans="1:15" ht="13.8" x14ac:dyDescent="0.25">
      <c r="A220" s="219">
        <v>36802</v>
      </c>
      <c r="B220" s="221" t="s">
        <v>360</v>
      </c>
      <c r="C220" s="224">
        <v>9040645</v>
      </c>
      <c r="D220" s="224">
        <v>73687</v>
      </c>
      <c r="E220" s="224">
        <v>38741</v>
      </c>
      <c r="F220" s="224">
        <v>2177356</v>
      </c>
      <c r="G220" s="224">
        <v>782622</v>
      </c>
      <c r="H220" s="224"/>
      <c r="J220" s="224">
        <v>1178716</v>
      </c>
      <c r="K220" s="224">
        <v>55502</v>
      </c>
      <c r="L220" s="224">
        <v>251439</v>
      </c>
      <c r="M220" s="224">
        <v>588061</v>
      </c>
      <c r="N220" s="224">
        <f t="shared" si="6"/>
        <v>839500</v>
      </c>
      <c r="O220" s="241">
        <f t="shared" si="7"/>
        <v>1234218</v>
      </c>
    </row>
    <row r="221" spans="1:15" ht="13.8" x14ac:dyDescent="0.25">
      <c r="A221" s="219">
        <v>36810</v>
      </c>
      <c r="B221" s="221" t="s">
        <v>485</v>
      </c>
      <c r="C221" s="224">
        <v>206370140</v>
      </c>
      <c r="D221" s="224">
        <v>1682037</v>
      </c>
      <c r="E221" s="224">
        <v>884330</v>
      </c>
      <c r="F221" s="224">
        <v>49702356</v>
      </c>
      <c r="G221" s="224">
        <v>3068145</v>
      </c>
      <c r="H221" s="224"/>
      <c r="J221" s="224">
        <v>26906452</v>
      </c>
      <c r="K221" s="224">
        <v>1362718</v>
      </c>
      <c r="L221" s="224">
        <v>5739612</v>
      </c>
      <c r="M221" s="224">
        <v>-187287</v>
      </c>
      <c r="N221" s="224">
        <f t="shared" si="6"/>
        <v>5552325</v>
      </c>
      <c r="O221" s="241">
        <f t="shared" si="7"/>
        <v>28269170</v>
      </c>
    </row>
    <row r="222" spans="1:15" ht="13.8" x14ac:dyDescent="0.25">
      <c r="A222" s="219">
        <v>36900</v>
      </c>
      <c r="B222" s="221" t="s">
        <v>361</v>
      </c>
      <c r="C222" s="224">
        <v>19913014</v>
      </c>
      <c r="D222" s="224">
        <v>162303</v>
      </c>
      <c r="E222" s="224">
        <v>85331</v>
      </c>
      <c r="F222" s="224">
        <v>4795867</v>
      </c>
      <c r="G222" s="224">
        <v>2379217</v>
      </c>
      <c r="H222" s="224"/>
      <c r="J222" s="224">
        <v>2596250</v>
      </c>
      <c r="K222" s="224">
        <v>2247418</v>
      </c>
      <c r="L222" s="224">
        <v>553826</v>
      </c>
      <c r="M222" s="224">
        <v>188996</v>
      </c>
      <c r="N222" s="224">
        <f t="shared" si="6"/>
        <v>742822</v>
      </c>
      <c r="O222" s="241">
        <f t="shared" si="7"/>
        <v>4843668</v>
      </c>
    </row>
    <row r="223" spans="1:15" ht="13.8" x14ac:dyDescent="0.25">
      <c r="A223" s="219">
        <v>36901</v>
      </c>
      <c r="B223" s="221" t="s">
        <v>362</v>
      </c>
      <c r="C223" s="224">
        <v>7108427</v>
      </c>
      <c r="D223" s="224">
        <v>57938</v>
      </c>
      <c r="E223" s="224">
        <v>30461</v>
      </c>
      <c r="F223" s="224">
        <v>1712000</v>
      </c>
      <c r="G223" s="224">
        <v>532697</v>
      </c>
      <c r="H223" s="224"/>
      <c r="J223" s="224">
        <v>926794</v>
      </c>
      <c r="K223" s="224">
        <v>453852</v>
      </c>
      <c r="L223" s="224">
        <v>197702</v>
      </c>
      <c r="M223" s="224">
        <v>35723</v>
      </c>
      <c r="N223" s="224">
        <f t="shared" si="6"/>
        <v>233425</v>
      </c>
      <c r="O223" s="241">
        <f t="shared" si="7"/>
        <v>1380646</v>
      </c>
    </row>
    <row r="224" spans="1:15" ht="13.8" x14ac:dyDescent="0.25">
      <c r="A224" s="219">
        <v>36905</v>
      </c>
      <c r="B224" s="221" t="s">
        <v>94</v>
      </c>
      <c r="C224" s="224">
        <v>5746349</v>
      </c>
      <c r="D224" s="224">
        <v>46836</v>
      </c>
      <c r="E224" s="224">
        <v>24624</v>
      </c>
      <c r="F224" s="224">
        <v>1383955</v>
      </c>
      <c r="G224" s="224">
        <v>0</v>
      </c>
      <c r="H224" s="224"/>
      <c r="J224" s="224">
        <v>749207</v>
      </c>
      <c r="K224" s="224">
        <v>577973</v>
      </c>
      <c r="L224" s="224">
        <v>159818</v>
      </c>
      <c r="M224" s="224">
        <v>-119958</v>
      </c>
      <c r="N224" s="224">
        <f t="shared" si="6"/>
        <v>39860</v>
      </c>
      <c r="O224" s="241">
        <f t="shared" si="7"/>
        <v>1327180</v>
      </c>
    </row>
    <row r="225" spans="1:15" ht="13.8" x14ac:dyDescent="0.25">
      <c r="A225" s="219">
        <v>37000</v>
      </c>
      <c r="B225" s="221" t="s">
        <v>363</v>
      </c>
      <c r="C225" s="224">
        <v>53324421</v>
      </c>
      <c r="D225" s="224">
        <v>434625</v>
      </c>
      <c r="E225" s="224">
        <v>228504</v>
      </c>
      <c r="F225" s="224">
        <v>12842698</v>
      </c>
      <c r="G225" s="224">
        <v>354541</v>
      </c>
      <c r="H225" s="224"/>
      <c r="J225" s="224">
        <v>6952416</v>
      </c>
      <c r="K225" s="224">
        <v>3189794</v>
      </c>
      <c r="L225" s="224">
        <v>1483068</v>
      </c>
      <c r="M225" s="224">
        <v>-2173011</v>
      </c>
      <c r="N225" s="224">
        <f t="shared" si="6"/>
        <v>-689943</v>
      </c>
      <c r="O225" s="241">
        <f t="shared" si="7"/>
        <v>10142210</v>
      </c>
    </row>
    <row r="226" spans="1:15" ht="13.8" x14ac:dyDescent="0.25">
      <c r="A226" s="220">
        <v>37001</v>
      </c>
      <c r="B226" s="222" t="s">
        <v>458</v>
      </c>
      <c r="C226" s="225">
        <v>6062111</v>
      </c>
      <c r="D226" s="233">
        <v>49410</v>
      </c>
      <c r="E226" s="233">
        <v>25977</v>
      </c>
      <c r="F226" s="233">
        <v>1460004</v>
      </c>
      <c r="G226" s="233">
        <v>914071</v>
      </c>
      <c r="H226" s="233"/>
      <c r="J226" s="233">
        <v>790376</v>
      </c>
      <c r="K226" s="233">
        <v>435276</v>
      </c>
      <c r="L226" s="233">
        <v>168601</v>
      </c>
      <c r="M226" s="233">
        <v>529647</v>
      </c>
      <c r="N226" s="224">
        <f t="shared" si="6"/>
        <v>698248</v>
      </c>
      <c r="O226" s="241">
        <f t="shared" si="7"/>
        <v>1225652</v>
      </c>
    </row>
    <row r="227" spans="1:15" ht="13.8" x14ac:dyDescent="0.25">
      <c r="A227" s="220">
        <v>37005</v>
      </c>
      <c r="B227" s="222" t="s">
        <v>95</v>
      </c>
      <c r="C227" s="225">
        <v>17078480</v>
      </c>
      <c r="D227" s="233">
        <v>139200</v>
      </c>
      <c r="E227" s="233">
        <v>73184</v>
      </c>
      <c r="F227" s="233">
        <v>4113195</v>
      </c>
      <c r="G227" s="233">
        <v>1183052</v>
      </c>
      <c r="H227" s="233"/>
      <c r="J227" s="233">
        <v>2226685</v>
      </c>
      <c r="K227" s="233">
        <v>0</v>
      </c>
      <c r="L227" s="233">
        <v>474991</v>
      </c>
      <c r="M227" s="233">
        <v>444068</v>
      </c>
      <c r="N227" s="224">
        <f t="shared" si="6"/>
        <v>919059</v>
      </c>
      <c r="O227" s="241">
        <f t="shared" si="7"/>
        <v>2226685</v>
      </c>
    </row>
    <row r="228" spans="1:15" ht="13.8" x14ac:dyDescent="0.25">
      <c r="A228" s="220">
        <v>37100</v>
      </c>
      <c r="B228" s="223" t="s">
        <v>364</v>
      </c>
      <c r="C228" s="225">
        <v>118120932</v>
      </c>
      <c r="D228" s="233">
        <v>962755</v>
      </c>
      <c r="E228" s="233">
        <v>506167</v>
      </c>
      <c r="F228" s="233">
        <v>28448343</v>
      </c>
      <c r="G228" s="233">
        <v>10640243</v>
      </c>
      <c r="H228" s="233"/>
      <c r="J228" s="233">
        <v>15400558</v>
      </c>
      <c r="K228" s="226">
        <v>347826</v>
      </c>
      <c r="L228" s="233">
        <v>3285204</v>
      </c>
      <c r="M228" s="233">
        <v>3446731</v>
      </c>
      <c r="N228" s="224">
        <f t="shared" si="6"/>
        <v>6731935</v>
      </c>
      <c r="O228" s="241">
        <f t="shared" si="7"/>
        <v>15748384</v>
      </c>
    </row>
    <row r="229" spans="1:15" ht="13.8" x14ac:dyDescent="0.25">
      <c r="A229" s="220">
        <v>37200</v>
      </c>
      <c r="B229" s="222" t="s">
        <v>365</v>
      </c>
      <c r="C229" s="225">
        <v>23349874</v>
      </c>
      <c r="D229" s="233">
        <v>190315</v>
      </c>
      <c r="E229" s="233">
        <v>100058</v>
      </c>
      <c r="F229" s="233">
        <v>5623603</v>
      </c>
      <c r="G229" s="233">
        <v>2311127</v>
      </c>
      <c r="H229" s="233"/>
      <c r="J229" s="233">
        <v>3044347</v>
      </c>
      <c r="K229" s="233">
        <v>748113</v>
      </c>
      <c r="L229" s="233">
        <v>649412</v>
      </c>
      <c r="M229" s="233">
        <v>348710</v>
      </c>
      <c r="N229" s="224">
        <f t="shared" si="6"/>
        <v>998122</v>
      </c>
      <c r="O229" s="241">
        <f t="shared" si="7"/>
        <v>3792460</v>
      </c>
    </row>
    <row r="230" spans="1:15" ht="13.8" x14ac:dyDescent="0.25">
      <c r="A230" s="220">
        <v>37300</v>
      </c>
      <c r="B230" s="222" t="s">
        <v>366</v>
      </c>
      <c r="C230" s="225">
        <v>54811962</v>
      </c>
      <c r="D230" s="233">
        <v>446749</v>
      </c>
      <c r="E230" s="233">
        <v>234878</v>
      </c>
      <c r="F230" s="233">
        <v>13200958</v>
      </c>
      <c r="G230" s="233">
        <v>1927227</v>
      </c>
      <c r="H230" s="233"/>
      <c r="J230" s="233">
        <v>7146361</v>
      </c>
      <c r="K230" s="233">
        <v>1655465</v>
      </c>
      <c r="L230" s="233">
        <v>1524442</v>
      </c>
      <c r="M230" s="233">
        <v>-866062</v>
      </c>
      <c r="N230" s="224">
        <f t="shared" si="6"/>
        <v>658380</v>
      </c>
      <c r="O230" s="241">
        <f t="shared" si="7"/>
        <v>8801826</v>
      </c>
    </row>
    <row r="231" spans="1:15" ht="13.8" x14ac:dyDescent="0.25">
      <c r="A231" s="220">
        <v>37301</v>
      </c>
      <c r="B231" s="222" t="s">
        <v>367</v>
      </c>
      <c r="C231" s="225">
        <v>5600850</v>
      </c>
      <c r="D231" s="233">
        <v>45650</v>
      </c>
      <c r="E231" s="233">
        <v>24001</v>
      </c>
      <c r="F231" s="233">
        <v>1348913</v>
      </c>
      <c r="G231" s="233">
        <v>63588</v>
      </c>
      <c r="H231" s="233"/>
      <c r="J231" s="233">
        <v>730236</v>
      </c>
      <c r="K231" s="233">
        <v>480676</v>
      </c>
      <c r="L231" s="233">
        <v>155771</v>
      </c>
      <c r="M231" s="233">
        <v>-174054</v>
      </c>
      <c r="N231" s="224">
        <f t="shared" si="6"/>
        <v>-18283</v>
      </c>
      <c r="O231" s="241">
        <f t="shared" si="7"/>
        <v>1210912</v>
      </c>
    </row>
    <row r="232" spans="1:15" ht="13.8" x14ac:dyDescent="0.25">
      <c r="A232" s="219">
        <v>37305</v>
      </c>
      <c r="B232" s="221" t="s">
        <v>96</v>
      </c>
      <c r="C232" s="224">
        <v>11262868</v>
      </c>
      <c r="D232" s="224">
        <v>91799</v>
      </c>
      <c r="E232" s="224">
        <v>48263</v>
      </c>
      <c r="F232" s="224">
        <v>2712558</v>
      </c>
      <c r="G232" s="224">
        <v>286633</v>
      </c>
      <c r="H232" s="224"/>
      <c r="J232" s="224">
        <v>1468448</v>
      </c>
      <c r="K232" s="224">
        <v>1180063</v>
      </c>
      <c r="L232" s="224">
        <v>313245</v>
      </c>
      <c r="M232" s="224">
        <v>-411252</v>
      </c>
      <c r="N232" s="224">
        <f t="shared" si="6"/>
        <v>-98007</v>
      </c>
      <c r="O232" s="241">
        <f t="shared" si="7"/>
        <v>2648511</v>
      </c>
    </row>
    <row r="233" spans="1:15" ht="13.8" x14ac:dyDescent="0.25">
      <c r="A233" s="219">
        <v>37400</v>
      </c>
      <c r="B233" s="221" t="s">
        <v>368</v>
      </c>
      <c r="C233" s="224">
        <v>275896257</v>
      </c>
      <c r="D233" s="224">
        <v>2248716</v>
      </c>
      <c r="E233" s="224">
        <v>1182260</v>
      </c>
      <c r="F233" s="224">
        <v>66447085</v>
      </c>
      <c r="G233" s="224">
        <v>6114506</v>
      </c>
      <c r="H233" s="224"/>
      <c r="J233" s="224">
        <v>35971239</v>
      </c>
      <c r="K233" s="224">
        <v>8235920</v>
      </c>
      <c r="L233" s="224">
        <v>7673289</v>
      </c>
      <c r="M233" s="224">
        <v>-236397</v>
      </c>
      <c r="N233" s="224">
        <f t="shared" si="6"/>
        <v>7436892</v>
      </c>
      <c r="O233" s="241">
        <f t="shared" si="7"/>
        <v>44207159</v>
      </c>
    </row>
    <row r="234" spans="1:15" ht="13.8" x14ac:dyDescent="0.25">
      <c r="A234" s="219">
        <v>37405</v>
      </c>
      <c r="B234" s="221" t="s">
        <v>97</v>
      </c>
      <c r="C234" s="224">
        <v>53389055</v>
      </c>
      <c r="D234" s="224">
        <v>435152</v>
      </c>
      <c r="E234" s="224">
        <v>228781</v>
      </c>
      <c r="F234" s="224">
        <v>12858264</v>
      </c>
      <c r="G234" s="224">
        <v>910918</v>
      </c>
      <c r="H234" s="224"/>
      <c r="J234" s="224">
        <v>6960843</v>
      </c>
      <c r="K234" s="224">
        <v>1436614</v>
      </c>
      <c r="L234" s="224">
        <v>1484868</v>
      </c>
      <c r="M234" s="224">
        <v>-1471559</v>
      </c>
      <c r="N234" s="224">
        <f t="shared" si="6"/>
        <v>13309</v>
      </c>
      <c r="O234" s="241">
        <f t="shared" si="7"/>
        <v>8397457</v>
      </c>
    </row>
    <row r="235" spans="1:15" ht="13.8" x14ac:dyDescent="0.25">
      <c r="A235" s="219">
        <v>37500</v>
      </c>
      <c r="B235" s="221" t="s">
        <v>369</v>
      </c>
      <c r="C235" s="224">
        <v>30562628</v>
      </c>
      <c r="D235" s="224">
        <v>249103</v>
      </c>
      <c r="E235" s="224">
        <v>130966</v>
      </c>
      <c r="F235" s="224">
        <v>7360729</v>
      </c>
      <c r="G235" s="224">
        <v>1773379</v>
      </c>
      <c r="H235" s="224"/>
      <c r="J235" s="224">
        <v>3984743</v>
      </c>
      <c r="K235" s="224">
        <v>532494</v>
      </c>
      <c r="L235" s="224">
        <v>850015</v>
      </c>
      <c r="M235" s="224">
        <v>99163</v>
      </c>
      <c r="N235" s="224">
        <f t="shared" si="6"/>
        <v>949178</v>
      </c>
      <c r="O235" s="241">
        <f t="shared" si="7"/>
        <v>4517237</v>
      </c>
    </row>
    <row r="236" spans="1:15" ht="13.8" x14ac:dyDescent="0.25">
      <c r="A236" s="219">
        <v>37600</v>
      </c>
      <c r="B236" s="221" t="s">
        <v>370</v>
      </c>
      <c r="C236" s="224">
        <v>170083863</v>
      </c>
      <c r="D236" s="224">
        <v>1386283</v>
      </c>
      <c r="E236" s="224">
        <v>728837</v>
      </c>
      <c r="F236" s="224">
        <v>40963139</v>
      </c>
      <c r="G236" s="224">
        <v>2989003</v>
      </c>
      <c r="H236" s="224"/>
      <c r="J236" s="224">
        <v>22175463</v>
      </c>
      <c r="K236" s="224">
        <v>5151832</v>
      </c>
      <c r="L236" s="224">
        <v>4730410</v>
      </c>
      <c r="M236" s="224">
        <v>-3900843</v>
      </c>
      <c r="N236" s="224">
        <f t="shared" si="6"/>
        <v>829567</v>
      </c>
      <c r="O236" s="241">
        <f t="shared" si="7"/>
        <v>27327295</v>
      </c>
    </row>
    <row r="237" spans="1:15" ht="13.8" x14ac:dyDescent="0.25">
      <c r="A237" s="219">
        <v>37601</v>
      </c>
      <c r="B237" s="221" t="s">
        <v>371</v>
      </c>
      <c r="C237" s="224">
        <v>19554035</v>
      </c>
      <c r="D237" s="224">
        <v>159377</v>
      </c>
      <c r="E237" s="224">
        <v>83792</v>
      </c>
      <c r="F237" s="224">
        <v>4709410</v>
      </c>
      <c r="G237" s="224">
        <v>1909600</v>
      </c>
      <c r="H237" s="224"/>
      <c r="J237" s="224">
        <v>2549447</v>
      </c>
      <c r="K237" s="224">
        <v>0</v>
      </c>
      <c r="L237" s="224">
        <v>543842</v>
      </c>
      <c r="M237" s="224">
        <v>1836075</v>
      </c>
      <c r="N237" s="224">
        <f t="shared" si="6"/>
        <v>2379917</v>
      </c>
      <c r="O237" s="241">
        <f t="shared" si="7"/>
        <v>2549447</v>
      </c>
    </row>
    <row r="238" spans="1:15" ht="13.8" x14ac:dyDescent="0.25">
      <c r="A238" s="219">
        <v>37605</v>
      </c>
      <c r="B238" s="221" t="s">
        <v>98</v>
      </c>
      <c r="C238" s="224">
        <v>22394627</v>
      </c>
      <c r="D238" s="224">
        <v>182529</v>
      </c>
      <c r="E238" s="224">
        <v>95965</v>
      </c>
      <c r="F238" s="224">
        <v>5393541</v>
      </c>
      <c r="G238" s="224">
        <v>843955</v>
      </c>
      <c r="H238" s="224"/>
      <c r="J238" s="224">
        <v>2919802</v>
      </c>
      <c r="K238" s="224">
        <v>403467</v>
      </c>
      <c r="L238" s="224">
        <v>622844</v>
      </c>
      <c r="M238" s="224">
        <v>-113164</v>
      </c>
      <c r="N238" s="224">
        <f t="shared" si="6"/>
        <v>509680</v>
      </c>
      <c r="O238" s="241">
        <f t="shared" si="7"/>
        <v>3323269</v>
      </c>
    </row>
    <row r="239" spans="1:15" ht="13.8" x14ac:dyDescent="0.25">
      <c r="A239" s="219">
        <v>37610</v>
      </c>
      <c r="B239" s="221" t="s">
        <v>372</v>
      </c>
      <c r="C239" s="224">
        <v>53592206</v>
      </c>
      <c r="D239" s="224">
        <v>436808</v>
      </c>
      <c r="E239" s="224">
        <v>229651</v>
      </c>
      <c r="F239" s="224">
        <v>12907191</v>
      </c>
      <c r="G239" s="224">
        <v>289742</v>
      </c>
      <c r="H239" s="224"/>
      <c r="J239" s="224">
        <v>6987329</v>
      </c>
      <c r="K239" s="224">
        <v>1583569</v>
      </c>
      <c r="L239" s="224">
        <v>1490517</v>
      </c>
      <c r="M239" s="224">
        <v>-925198</v>
      </c>
      <c r="N239" s="224">
        <f t="shared" si="6"/>
        <v>565319</v>
      </c>
      <c r="O239" s="241">
        <f t="shared" si="7"/>
        <v>8570898</v>
      </c>
    </row>
    <row r="240" spans="1:15" ht="13.8" x14ac:dyDescent="0.25">
      <c r="A240" s="219">
        <v>37700</v>
      </c>
      <c r="B240" s="221" t="s">
        <v>373</v>
      </c>
      <c r="C240" s="224">
        <v>77641562</v>
      </c>
      <c r="D240" s="224">
        <v>632824</v>
      </c>
      <c r="E240" s="224">
        <v>332707</v>
      </c>
      <c r="F240" s="224">
        <v>18699258</v>
      </c>
      <c r="G240" s="224">
        <v>3495523</v>
      </c>
      <c r="H240" s="224"/>
      <c r="J240" s="224">
        <v>10122874</v>
      </c>
      <c r="K240" s="224">
        <v>2117018</v>
      </c>
      <c r="L240" s="224">
        <v>2159386</v>
      </c>
      <c r="M240" s="224">
        <v>-406809</v>
      </c>
      <c r="N240" s="224">
        <f t="shared" si="6"/>
        <v>1752577</v>
      </c>
      <c r="O240" s="241">
        <f t="shared" si="7"/>
        <v>12239892</v>
      </c>
    </row>
    <row r="241" spans="1:15" ht="13.8" x14ac:dyDescent="0.25">
      <c r="A241" s="219">
        <v>37705</v>
      </c>
      <c r="B241" s="221" t="s">
        <v>99</v>
      </c>
      <c r="C241" s="224">
        <v>20027898</v>
      </c>
      <c r="D241" s="224">
        <v>163239</v>
      </c>
      <c r="E241" s="224">
        <v>85823</v>
      </c>
      <c r="F241" s="224">
        <v>4823536</v>
      </c>
      <c r="G241" s="224">
        <v>604005</v>
      </c>
      <c r="H241" s="224"/>
      <c r="J241" s="224">
        <v>2611229</v>
      </c>
      <c r="K241" s="224">
        <v>1947248</v>
      </c>
      <c r="L241" s="224">
        <v>557020</v>
      </c>
      <c r="M241" s="224">
        <v>-739030</v>
      </c>
      <c r="N241" s="224">
        <f t="shared" si="6"/>
        <v>-182010</v>
      </c>
      <c r="O241" s="241">
        <f t="shared" si="7"/>
        <v>4558477</v>
      </c>
    </row>
    <row r="242" spans="1:15" ht="13.8" x14ac:dyDescent="0.25">
      <c r="A242" s="219">
        <v>37800</v>
      </c>
      <c r="B242" s="221" t="s">
        <v>374</v>
      </c>
      <c r="C242" s="224">
        <v>215271347</v>
      </c>
      <c r="D242" s="224">
        <v>1754587</v>
      </c>
      <c r="E242" s="224">
        <v>922473</v>
      </c>
      <c r="F242" s="224">
        <v>51846130</v>
      </c>
      <c r="G242" s="224">
        <v>8206295</v>
      </c>
      <c r="H242" s="224"/>
      <c r="J242" s="224">
        <v>28066988</v>
      </c>
      <c r="K242" s="224">
        <v>19423410</v>
      </c>
      <c r="L242" s="224">
        <v>5987175</v>
      </c>
      <c r="M242" s="224">
        <v>-6088915</v>
      </c>
      <c r="N242" s="224">
        <f t="shared" si="6"/>
        <v>-101740</v>
      </c>
      <c r="O242" s="241">
        <f t="shared" si="7"/>
        <v>47490398</v>
      </c>
    </row>
    <row r="243" spans="1:15" ht="13.8" x14ac:dyDescent="0.25">
      <c r="A243" s="219">
        <v>37801</v>
      </c>
      <c r="B243" s="221" t="s">
        <v>375</v>
      </c>
      <c r="C243" s="224">
        <v>2398228</v>
      </c>
      <c r="D243" s="224">
        <v>19547</v>
      </c>
      <c r="E243" s="224">
        <v>10277</v>
      </c>
      <c r="F243" s="224">
        <v>577591</v>
      </c>
      <c r="G243" s="224">
        <v>146335</v>
      </c>
      <c r="H243" s="224"/>
      <c r="J243" s="224">
        <v>312680</v>
      </c>
      <c r="K243" s="224">
        <v>67378</v>
      </c>
      <c r="L243" s="224">
        <v>66700</v>
      </c>
      <c r="M243" s="224">
        <v>45978</v>
      </c>
      <c r="N243" s="224">
        <f t="shared" si="6"/>
        <v>112678</v>
      </c>
      <c r="O243" s="241">
        <f t="shared" si="7"/>
        <v>380058</v>
      </c>
    </row>
    <row r="244" spans="1:15" ht="13.8" x14ac:dyDescent="0.25">
      <c r="A244" s="220">
        <v>37805</v>
      </c>
      <c r="B244" s="222" t="s">
        <v>100</v>
      </c>
      <c r="C244" s="225">
        <v>19020051</v>
      </c>
      <c r="D244" s="233">
        <v>155025</v>
      </c>
      <c r="E244" s="233">
        <v>81504</v>
      </c>
      <c r="F244" s="233">
        <v>4580805</v>
      </c>
      <c r="G244" s="233">
        <v>1211848</v>
      </c>
      <c r="H244" s="233"/>
      <c r="J244" s="233">
        <v>2479826</v>
      </c>
      <c r="K244" s="233">
        <v>0</v>
      </c>
      <c r="L244" s="233">
        <v>528992</v>
      </c>
      <c r="M244" s="233">
        <v>131469</v>
      </c>
      <c r="N244" s="224">
        <f t="shared" si="6"/>
        <v>660461</v>
      </c>
      <c r="O244" s="241">
        <f t="shared" si="7"/>
        <v>2479826</v>
      </c>
    </row>
    <row r="245" spans="1:15" ht="13.8" x14ac:dyDescent="0.25">
      <c r="A245" s="220">
        <v>37900</v>
      </c>
      <c r="B245" s="222" t="s">
        <v>376</v>
      </c>
      <c r="C245" s="225">
        <v>121154882</v>
      </c>
      <c r="D245" s="233">
        <v>987483</v>
      </c>
      <c r="E245" s="233">
        <v>519168</v>
      </c>
      <c r="F245" s="233">
        <v>29179042</v>
      </c>
      <c r="G245" s="233">
        <v>2003646</v>
      </c>
      <c r="H245" s="233"/>
      <c r="J245" s="233">
        <v>15796123</v>
      </c>
      <c r="K245" s="233">
        <v>1178511</v>
      </c>
      <c r="L245" s="233">
        <v>3369587</v>
      </c>
      <c r="M245" s="233">
        <v>-1266606</v>
      </c>
      <c r="N245" s="224">
        <f t="shared" si="6"/>
        <v>2102981</v>
      </c>
      <c r="O245" s="241">
        <f t="shared" si="7"/>
        <v>16974634</v>
      </c>
    </row>
    <row r="246" spans="1:15" ht="13.8" x14ac:dyDescent="0.25">
      <c r="A246" s="220">
        <v>37901</v>
      </c>
      <c r="B246" s="222" t="s">
        <v>377</v>
      </c>
      <c r="C246" s="225">
        <v>4739926</v>
      </c>
      <c r="D246" s="233">
        <v>38633</v>
      </c>
      <c r="E246" s="233">
        <v>20311</v>
      </c>
      <c r="F246" s="233">
        <v>1141568</v>
      </c>
      <c r="G246" s="233">
        <v>866233</v>
      </c>
      <c r="H246" s="233"/>
      <c r="J246" s="233">
        <v>617990</v>
      </c>
      <c r="K246" s="233">
        <v>0</v>
      </c>
      <c r="L246" s="233">
        <v>131828</v>
      </c>
      <c r="M246" s="233">
        <v>436264</v>
      </c>
      <c r="N246" s="224">
        <f t="shared" si="6"/>
        <v>568092</v>
      </c>
      <c r="O246" s="241">
        <f t="shared" si="7"/>
        <v>617990</v>
      </c>
    </row>
    <row r="247" spans="1:15" ht="13.8" x14ac:dyDescent="0.25">
      <c r="A247" s="220">
        <v>37905</v>
      </c>
      <c r="B247" s="222" t="s">
        <v>101</v>
      </c>
      <c r="C247" s="225">
        <v>13354781</v>
      </c>
      <c r="D247" s="233">
        <v>108849</v>
      </c>
      <c r="E247" s="233">
        <v>57227</v>
      </c>
      <c r="F247" s="233">
        <v>3216377</v>
      </c>
      <c r="G247" s="233">
        <v>276478</v>
      </c>
      <c r="H247" s="233"/>
      <c r="J247" s="233">
        <v>1741191</v>
      </c>
      <c r="K247" s="233">
        <v>288797</v>
      </c>
      <c r="L247" s="233">
        <v>371426</v>
      </c>
      <c r="M247" s="233">
        <v>-109568</v>
      </c>
      <c r="N247" s="224">
        <f t="shared" si="6"/>
        <v>261858</v>
      </c>
      <c r="O247" s="241">
        <f t="shared" si="7"/>
        <v>2029988</v>
      </c>
    </row>
    <row r="248" spans="1:15" ht="13.8" x14ac:dyDescent="0.25">
      <c r="A248" s="220">
        <v>38000</v>
      </c>
      <c r="B248" s="222" t="s">
        <v>378</v>
      </c>
      <c r="C248" s="225">
        <v>198913155</v>
      </c>
      <c r="D248" s="233">
        <v>1621258</v>
      </c>
      <c r="E248" s="233">
        <v>852375</v>
      </c>
      <c r="F248" s="233">
        <v>47906409</v>
      </c>
      <c r="G248" s="233">
        <v>6259816</v>
      </c>
      <c r="H248" s="233"/>
      <c r="J248" s="233">
        <v>25934214</v>
      </c>
      <c r="K248" s="226">
        <v>11805880</v>
      </c>
      <c r="L248" s="233">
        <v>5532217</v>
      </c>
      <c r="M248" s="233">
        <v>-4417309</v>
      </c>
      <c r="N248" s="224">
        <f t="shared" si="6"/>
        <v>1114908</v>
      </c>
      <c r="O248" s="241">
        <f t="shared" si="7"/>
        <v>37740094</v>
      </c>
    </row>
    <row r="249" spans="1:15" ht="13.8" x14ac:dyDescent="0.25">
      <c r="A249" s="220">
        <v>38005</v>
      </c>
      <c r="B249" s="222" t="s">
        <v>102</v>
      </c>
      <c r="C249" s="225">
        <v>47480915</v>
      </c>
      <c r="D249" s="233">
        <v>386997</v>
      </c>
      <c r="E249" s="233">
        <v>203463</v>
      </c>
      <c r="F249" s="233">
        <v>11435343</v>
      </c>
      <c r="G249" s="233">
        <v>3874242</v>
      </c>
      <c r="H249" s="233"/>
      <c r="J249" s="233">
        <v>6190542</v>
      </c>
      <c r="K249" s="233">
        <v>0</v>
      </c>
      <c r="L249" s="233">
        <v>1320550</v>
      </c>
      <c r="M249" s="233">
        <v>1524781</v>
      </c>
      <c r="N249" s="224">
        <f t="shared" si="6"/>
        <v>2845331</v>
      </c>
      <c r="O249" s="241">
        <f t="shared" si="7"/>
        <v>6190542</v>
      </c>
    </row>
    <row r="250" spans="1:15" ht="13.8" x14ac:dyDescent="0.25">
      <c r="A250" s="219">
        <v>38100</v>
      </c>
      <c r="B250" s="221" t="s">
        <v>379</v>
      </c>
      <c r="C250" s="224">
        <v>92508734</v>
      </c>
      <c r="D250" s="224">
        <v>754000</v>
      </c>
      <c r="E250" s="224">
        <v>396415</v>
      </c>
      <c r="F250" s="224">
        <v>22279880</v>
      </c>
      <c r="G250" s="224">
        <v>5167348</v>
      </c>
      <c r="H250" s="224"/>
      <c r="J250" s="224">
        <v>12061250</v>
      </c>
      <c r="K250" s="224">
        <v>6048623</v>
      </c>
      <c r="L250" s="224">
        <v>2572872</v>
      </c>
      <c r="M250" s="224">
        <v>-923004</v>
      </c>
      <c r="N250" s="224">
        <f t="shared" si="6"/>
        <v>1649868</v>
      </c>
      <c r="O250" s="241">
        <f t="shared" si="7"/>
        <v>18109873</v>
      </c>
    </row>
    <row r="251" spans="1:15" ht="13.8" x14ac:dyDescent="0.25">
      <c r="A251" s="219">
        <v>38105</v>
      </c>
      <c r="B251" s="221" t="s">
        <v>103</v>
      </c>
      <c r="C251" s="224">
        <v>18557470</v>
      </c>
      <c r="D251" s="224">
        <v>151254</v>
      </c>
      <c r="E251" s="224">
        <v>79522</v>
      </c>
      <c r="F251" s="224">
        <v>4469396</v>
      </c>
      <c r="G251" s="224">
        <v>851156</v>
      </c>
      <c r="H251" s="224"/>
      <c r="J251" s="224">
        <v>2419515</v>
      </c>
      <c r="K251" s="224">
        <v>268387</v>
      </c>
      <c r="L251" s="224">
        <v>516124</v>
      </c>
      <c r="M251" s="224">
        <v>5918</v>
      </c>
      <c r="N251" s="224">
        <f t="shared" si="6"/>
        <v>522042</v>
      </c>
      <c r="O251" s="241">
        <f t="shared" si="7"/>
        <v>2687902</v>
      </c>
    </row>
    <row r="252" spans="1:15" ht="13.8" x14ac:dyDescent="0.25">
      <c r="A252" s="219">
        <v>38200</v>
      </c>
      <c r="B252" s="221" t="s">
        <v>380</v>
      </c>
      <c r="C252" s="224">
        <v>89010093</v>
      </c>
      <c r="D252" s="224">
        <v>725484</v>
      </c>
      <c r="E252" s="224">
        <v>381423</v>
      </c>
      <c r="F252" s="224">
        <v>21437265</v>
      </c>
      <c r="G252" s="224">
        <v>3793626</v>
      </c>
      <c r="H252" s="224"/>
      <c r="J252" s="224">
        <v>11605099</v>
      </c>
      <c r="K252" s="224">
        <v>2335099</v>
      </c>
      <c r="L252" s="224">
        <v>2475568</v>
      </c>
      <c r="M252" s="224">
        <v>-419044</v>
      </c>
      <c r="N252" s="224">
        <f t="shared" si="6"/>
        <v>2056524</v>
      </c>
      <c r="O252" s="241">
        <f t="shared" si="7"/>
        <v>13940198</v>
      </c>
    </row>
    <row r="253" spans="1:15" ht="13.8" x14ac:dyDescent="0.25">
      <c r="A253" s="219">
        <v>38205</v>
      </c>
      <c r="B253" s="221" t="s">
        <v>104</v>
      </c>
      <c r="C253" s="224">
        <v>12927372</v>
      </c>
      <c r="D253" s="224">
        <v>105366</v>
      </c>
      <c r="E253" s="224">
        <v>55396</v>
      </c>
      <c r="F253" s="224">
        <v>3113439</v>
      </c>
      <c r="G253" s="224">
        <v>418075</v>
      </c>
      <c r="H253" s="224"/>
      <c r="J253" s="224">
        <v>1685465</v>
      </c>
      <c r="K253" s="224">
        <v>350464</v>
      </c>
      <c r="L253" s="224">
        <v>359539</v>
      </c>
      <c r="M253" s="224">
        <v>45183</v>
      </c>
      <c r="N253" s="224">
        <f t="shared" si="6"/>
        <v>404722</v>
      </c>
      <c r="O253" s="241">
        <f t="shared" si="7"/>
        <v>2035929</v>
      </c>
    </row>
    <row r="254" spans="1:15" ht="13.8" x14ac:dyDescent="0.25">
      <c r="A254" s="219">
        <v>38210</v>
      </c>
      <c r="B254" s="221" t="s">
        <v>381</v>
      </c>
      <c r="C254" s="224">
        <v>34812430</v>
      </c>
      <c r="D254" s="224">
        <v>283742</v>
      </c>
      <c r="E254" s="224">
        <v>149177</v>
      </c>
      <c r="F254" s="224">
        <v>8384254</v>
      </c>
      <c r="G254" s="224">
        <v>1388554</v>
      </c>
      <c r="H254" s="224"/>
      <c r="J254" s="224">
        <v>4538830</v>
      </c>
      <c r="K254" s="224">
        <v>813164</v>
      </c>
      <c r="L254" s="224">
        <v>968211</v>
      </c>
      <c r="M254" s="224">
        <v>-109775</v>
      </c>
      <c r="N254" s="224">
        <f t="shared" si="6"/>
        <v>858436</v>
      </c>
      <c r="O254" s="241">
        <f t="shared" si="7"/>
        <v>5351994</v>
      </c>
    </row>
    <row r="255" spans="1:15" ht="13.8" x14ac:dyDescent="0.25">
      <c r="A255" s="219">
        <v>38300</v>
      </c>
      <c r="B255" s="221" t="s">
        <v>382</v>
      </c>
      <c r="C255" s="224">
        <v>67433313</v>
      </c>
      <c r="D255" s="224">
        <v>549621</v>
      </c>
      <c r="E255" s="224">
        <v>288963</v>
      </c>
      <c r="F255" s="224">
        <v>16240695</v>
      </c>
      <c r="G255" s="224">
        <v>2645054</v>
      </c>
      <c r="H255" s="224"/>
      <c r="J255" s="224">
        <v>8791927</v>
      </c>
      <c r="K255" s="224">
        <v>3011586</v>
      </c>
      <c r="L255" s="224">
        <v>1875470</v>
      </c>
      <c r="M255" s="224">
        <v>-977415</v>
      </c>
      <c r="N255" s="224">
        <f t="shared" si="6"/>
        <v>898055</v>
      </c>
      <c r="O255" s="241">
        <f t="shared" si="7"/>
        <v>11803513</v>
      </c>
    </row>
    <row r="256" spans="1:15" ht="13.8" x14ac:dyDescent="0.25">
      <c r="A256" s="220">
        <v>38400</v>
      </c>
      <c r="B256" s="222" t="s">
        <v>383</v>
      </c>
      <c r="C256" s="225">
        <v>88777679</v>
      </c>
      <c r="D256" s="233">
        <v>723590</v>
      </c>
      <c r="E256" s="233">
        <v>380427</v>
      </c>
      <c r="F256" s="233">
        <v>21381290</v>
      </c>
      <c r="G256" s="233">
        <v>3461674</v>
      </c>
      <c r="H256" s="233"/>
      <c r="J256" s="233">
        <v>11574797</v>
      </c>
      <c r="K256" s="233">
        <v>2267212</v>
      </c>
      <c r="L256" s="233">
        <v>2469105</v>
      </c>
      <c r="M256" s="233">
        <v>-369663</v>
      </c>
      <c r="N256" s="224">
        <f t="shared" si="6"/>
        <v>2099442</v>
      </c>
      <c r="O256" s="241">
        <f t="shared" si="7"/>
        <v>13842009</v>
      </c>
    </row>
    <row r="257" spans="1:15" ht="13.8" x14ac:dyDescent="0.25">
      <c r="A257" s="220">
        <v>38402</v>
      </c>
      <c r="B257" s="222" t="s">
        <v>384</v>
      </c>
      <c r="C257" s="225">
        <v>6656553</v>
      </c>
      <c r="D257" s="233">
        <v>54255</v>
      </c>
      <c r="E257" s="233">
        <v>28524</v>
      </c>
      <c r="F257" s="233">
        <v>1603170</v>
      </c>
      <c r="G257" s="233">
        <v>154172</v>
      </c>
      <c r="H257" s="233"/>
      <c r="J257" s="233">
        <v>867879</v>
      </c>
      <c r="K257" s="233">
        <v>189819</v>
      </c>
      <c r="L257" s="233">
        <v>185134</v>
      </c>
      <c r="M257" s="233">
        <v>38705</v>
      </c>
      <c r="N257" s="224">
        <f t="shared" si="6"/>
        <v>223839</v>
      </c>
      <c r="O257" s="241">
        <f t="shared" si="7"/>
        <v>1057698</v>
      </c>
    </row>
    <row r="258" spans="1:15" ht="13.8" x14ac:dyDescent="0.25">
      <c r="A258" s="220">
        <v>38405</v>
      </c>
      <c r="B258" s="222" t="s">
        <v>105</v>
      </c>
      <c r="C258" s="225">
        <v>20959255</v>
      </c>
      <c r="D258" s="233">
        <v>170830</v>
      </c>
      <c r="E258" s="233">
        <v>89814</v>
      </c>
      <c r="F258" s="233">
        <v>5047844</v>
      </c>
      <c r="G258" s="233">
        <v>392257</v>
      </c>
      <c r="H258" s="233"/>
      <c r="J258" s="233">
        <v>2732659</v>
      </c>
      <c r="K258" s="233">
        <v>614714</v>
      </c>
      <c r="L258" s="233">
        <v>582925</v>
      </c>
      <c r="M258" s="233">
        <v>-640466</v>
      </c>
      <c r="N258" s="224">
        <f t="shared" si="6"/>
        <v>-57541</v>
      </c>
      <c r="O258" s="241">
        <f t="shared" si="7"/>
        <v>3347373</v>
      </c>
    </row>
    <row r="259" spans="1:15" ht="13.8" x14ac:dyDescent="0.25">
      <c r="A259" s="220">
        <v>38500</v>
      </c>
      <c r="B259" s="222" t="s">
        <v>385</v>
      </c>
      <c r="C259" s="225">
        <v>67103819</v>
      </c>
      <c r="D259" s="233">
        <v>546935</v>
      </c>
      <c r="E259" s="233">
        <v>287551</v>
      </c>
      <c r="F259" s="233">
        <v>16161340</v>
      </c>
      <c r="G259" s="233">
        <v>2542368</v>
      </c>
      <c r="H259" s="233"/>
      <c r="J259" s="233">
        <v>8748968</v>
      </c>
      <c r="K259" s="233">
        <v>1874005</v>
      </c>
      <c r="L259" s="233">
        <v>1866306</v>
      </c>
      <c r="M259" s="233">
        <v>-470238</v>
      </c>
      <c r="N259" s="224">
        <f t="shared" si="6"/>
        <v>1396068</v>
      </c>
      <c r="O259" s="241">
        <f t="shared" si="7"/>
        <v>10622973</v>
      </c>
    </row>
    <row r="260" spans="1:15" ht="13.8" x14ac:dyDescent="0.25">
      <c r="A260" s="220">
        <v>38600</v>
      </c>
      <c r="B260" s="222" t="s">
        <v>386</v>
      </c>
      <c r="C260" s="225">
        <v>84646778</v>
      </c>
      <c r="D260" s="233">
        <v>689921</v>
      </c>
      <c r="E260" s="233">
        <v>362725</v>
      </c>
      <c r="F260" s="233">
        <v>20386400</v>
      </c>
      <c r="G260" s="233">
        <v>3022367</v>
      </c>
      <c r="H260" s="233"/>
      <c r="J260" s="233">
        <v>11036212</v>
      </c>
      <c r="K260" s="233">
        <v>2582567</v>
      </c>
      <c r="L260" s="233">
        <v>2354215</v>
      </c>
      <c r="M260" s="233">
        <v>-982951</v>
      </c>
      <c r="N260" s="224">
        <f t="shared" si="6"/>
        <v>1371264</v>
      </c>
      <c r="O260" s="241">
        <f t="shared" si="7"/>
        <v>13618779</v>
      </c>
    </row>
    <row r="261" spans="1:15" ht="13.8" x14ac:dyDescent="0.25">
      <c r="A261" s="220">
        <v>38601</v>
      </c>
      <c r="B261" s="222" t="s">
        <v>387</v>
      </c>
      <c r="C261" s="225">
        <v>0</v>
      </c>
      <c r="D261" s="233">
        <v>0</v>
      </c>
      <c r="E261" s="233">
        <v>0</v>
      </c>
      <c r="F261" s="233">
        <v>0</v>
      </c>
      <c r="G261" s="233">
        <v>7773</v>
      </c>
      <c r="H261" s="233"/>
      <c r="J261" s="233">
        <v>0</v>
      </c>
      <c r="K261" s="233">
        <v>541994</v>
      </c>
      <c r="L261" s="233">
        <v>0</v>
      </c>
      <c r="M261" s="233">
        <v>-254946</v>
      </c>
      <c r="N261" s="224">
        <f t="shared" ref="N261:N313" si="8">L261+M261</f>
        <v>-254946</v>
      </c>
      <c r="O261" s="241">
        <f t="shared" ref="O261:O316" si="9">SUM(H261:K261)</f>
        <v>541994</v>
      </c>
    </row>
    <row r="262" spans="1:15" ht="13.8" x14ac:dyDescent="0.25">
      <c r="A262" s="219">
        <v>38602</v>
      </c>
      <c r="B262" s="221" t="s">
        <v>388</v>
      </c>
      <c r="C262" s="224">
        <v>6768002</v>
      </c>
      <c r="D262" s="224">
        <v>55163</v>
      </c>
      <c r="E262" s="224">
        <v>29002</v>
      </c>
      <c r="F262" s="224">
        <v>1630011</v>
      </c>
      <c r="G262" s="224">
        <v>56613</v>
      </c>
      <c r="H262" s="224"/>
      <c r="J262" s="224">
        <v>882409</v>
      </c>
      <c r="K262" s="224">
        <v>633494</v>
      </c>
      <c r="L262" s="224">
        <v>188233</v>
      </c>
      <c r="M262" s="224">
        <v>-187581</v>
      </c>
      <c r="N262" s="224">
        <f t="shared" si="8"/>
        <v>652</v>
      </c>
      <c r="O262" s="241">
        <f t="shared" si="9"/>
        <v>1515903</v>
      </c>
    </row>
    <row r="263" spans="1:15" ht="13.8" x14ac:dyDescent="0.25">
      <c r="A263" s="219">
        <v>38605</v>
      </c>
      <c r="B263" s="221" t="s">
        <v>106</v>
      </c>
      <c r="C263" s="224">
        <v>20500690</v>
      </c>
      <c r="D263" s="224">
        <v>167093</v>
      </c>
      <c r="E263" s="224">
        <v>87849</v>
      </c>
      <c r="F263" s="224">
        <v>4937403</v>
      </c>
      <c r="G263" s="224">
        <v>1198778</v>
      </c>
      <c r="H263" s="224"/>
      <c r="J263" s="224">
        <v>2672871</v>
      </c>
      <c r="K263" s="224">
        <v>1490718</v>
      </c>
      <c r="L263" s="224">
        <v>570169</v>
      </c>
      <c r="M263" s="224">
        <v>-597608</v>
      </c>
      <c r="N263" s="224">
        <f t="shared" si="8"/>
        <v>-27439</v>
      </c>
      <c r="O263" s="241">
        <f t="shared" si="9"/>
        <v>4163589</v>
      </c>
    </row>
    <row r="264" spans="1:15" ht="13.8" x14ac:dyDescent="0.25">
      <c r="A264" s="219">
        <v>38610</v>
      </c>
      <c r="B264" s="221" t="s">
        <v>389</v>
      </c>
      <c r="C264" s="224">
        <v>22631413</v>
      </c>
      <c r="D264" s="224">
        <v>184459</v>
      </c>
      <c r="E264" s="224">
        <v>96979</v>
      </c>
      <c r="F264" s="224">
        <v>5450568</v>
      </c>
      <c r="G264" s="224">
        <v>2010916</v>
      </c>
      <c r="H264" s="224"/>
      <c r="J264" s="224">
        <v>2950674</v>
      </c>
      <c r="K264" s="224">
        <v>124374</v>
      </c>
      <c r="L264" s="224">
        <v>629430</v>
      </c>
      <c r="M264" s="224">
        <v>783667</v>
      </c>
      <c r="N264" s="224">
        <f t="shared" si="8"/>
        <v>1413097</v>
      </c>
      <c r="O264" s="241">
        <f t="shared" si="9"/>
        <v>3075048</v>
      </c>
    </row>
    <row r="265" spans="1:15" ht="13.8" x14ac:dyDescent="0.25">
      <c r="A265" s="219">
        <v>38620</v>
      </c>
      <c r="B265" s="221" t="s">
        <v>390</v>
      </c>
      <c r="C265" s="224">
        <v>15377085</v>
      </c>
      <c r="D265" s="224">
        <v>125332</v>
      </c>
      <c r="E265" s="224">
        <v>65893</v>
      </c>
      <c r="F265" s="224">
        <v>3703430</v>
      </c>
      <c r="G265" s="224">
        <v>1069591</v>
      </c>
      <c r="H265" s="224"/>
      <c r="J265" s="224">
        <v>2004858</v>
      </c>
      <c r="K265" s="224">
        <v>159496</v>
      </c>
      <c r="L265" s="224">
        <v>427673</v>
      </c>
      <c r="M265" s="224">
        <v>211343</v>
      </c>
      <c r="N265" s="224">
        <f t="shared" si="8"/>
        <v>639016</v>
      </c>
      <c r="O265" s="241">
        <f t="shared" si="9"/>
        <v>2164354</v>
      </c>
    </row>
    <row r="266" spans="1:15" ht="13.8" x14ac:dyDescent="0.25">
      <c r="A266" s="219">
        <v>38700</v>
      </c>
      <c r="B266" s="221" t="s">
        <v>391</v>
      </c>
      <c r="C266" s="224">
        <v>27206092</v>
      </c>
      <c r="D266" s="224">
        <v>221746</v>
      </c>
      <c r="E266" s="224">
        <v>116583</v>
      </c>
      <c r="F266" s="224">
        <v>6552338</v>
      </c>
      <c r="G266" s="224">
        <v>1561197</v>
      </c>
      <c r="H266" s="224"/>
      <c r="J266" s="224">
        <v>3547119</v>
      </c>
      <c r="K266" s="224">
        <v>1165160</v>
      </c>
      <c r="L266" s="224">
        <v>756662</v>
      </c>
      <c r="M266" s="224">
        <v>-32258</v>
      </c>
      <c r="N266" s="224">
        <f t="shared" si="8"/>
        <v>724404</v>
      </c>
      <c r="O266" s="241">
        <f t="shared" si="9"/>
        <v>4712279</v>
      </c>
    </row>
    <row r="267" spans="1:15" ht="13.8" x14ac:dyDescent="0.25">
      <c r="A267" s="219">
        <v>38701</v>
      </c>
      <c r="B267" s="221" t="s">
        <v>459</v>
      </c>
      <c r="C267" s="224">
        <v>2327301</v>
      </c>
      <c r="D267" s="224">
        <v>18969</v>
      </c>
      <c r="E267" s="224">
        <v>9973</v>
      </c>
      <c r="F267" s="224">
        <v>560509</v>
      </c>
      <c r="G267" s="224">
        <v>315974</v>
      </c>
      <c r="H267" s="224"/>
      <c r="J267" s="224">
        <v>303433</v>
      </c>
      <c r="K267" s="224">
        <v>0</v>
      </c>
      <c r="L267" s="224">
        <v>64727</v>
      </c>
      <c r="M267" s="224">
        <v>127061</v>
      </c>
      <c r="N267" s="224">
        <f t="shared" si="8"/>
        <v>191788</v>
      </c>
      <c r="O267" s="241">
        <f t="shared" si="9"/>
        <v>303433</v>
      </c>
    </row>
    <row r="268" spans="1:15" ht="13.8" x14ac:dyDescent="0.25">
      <c r="A268" s="220">
        <v>38800</v>
      </c>
      <c r="B268" s="222" t="s">
        <v>392</v>
      </c>
      <c r="C268" s="225">
        <v>45382740</v>
      </c>
      <c r="D268" s="233">
        <v>369896</v>
      </c>
      <c r="E268" s="233">
        <v>194472</v>
      </c>
      <c r="F268" s="233">
        <v>10930017</v>
      </c>
      <c r="G268" s="233">
        <v>1502156</v>
      </c>
      <c r="H268" s="233"/>
      <c r="J268" s="233">
        <v>5916983</v>
      </c>
      <c r="K268" s="233">
        <v>1395215</v>
      </c>
      <c r="L268" s="233">
        <v>1262197</v>
      </c>
      <c r="M268" s="233">
        <v>-182292</v>
      </c>
      <c r="N268" s="224">
        <f t="shared" si="8"/>
        <v>1079905</v>
      </c>
      <c r="O268" s="241">
        <f t="shared" si="9"/>
        <v>7312198</v>
      </c>
    </row>
    <row r="269" spans="1:15" ht="13.8" x14ac:dyDescent="0.25">
      <c r="A269" s="220">
        <v>38801</v>
      </c>
      <c r="B269" s="222" t="s">
        <v>393</v>
      </c>
      <c r="C269" s="225">
        <v>4129771</v>
      </c>
      <c r="D269" s="233">
        <v>33660</v>
      </c>
      <c r="E269" s="233">
        <v>17697</v>
      </c>
      <c r="F269" s="233">
        <v>994618</v>
      </c>
      <c r="G269" s="233">
        <v>201848</v>
      </c>
      <c r="H269" s="233"/>
      <c r="J269" s="233">
        <v>538438</v>
      </c>
      <c r="K269" s="226">
        <v>300076</v>
      </c>
      <c r="L269" s="233">
        <v>114860</v>
      </c>
      <c r="M269" s="233">
        <v>-19550</v>
      </c>
      <c r="N269" s="224">
        <f t="shared" si="8"/>
        <v>95310</v>
      </c>
      <c r="O269" s="241">
        <f t="shared" si="9"/>
        <v>838514</v>
      </c>
    </row>
    <row r="270" spans="1:15" ht="13.8" x14ac:dyDescent="0.25">
      <c r="A270" s="220">
        <v>38900</v>
      </c>
      <c r="B270" s="222" t="s">
        <v>394</v>
      </c>
      <c r="C270" s="225">
        <v>9193647</v>
      </c>
      <c r="D270" s="233">
        <v>74934</v>
      </c>
      <c r="E270" s="233">
        <v>39396</v>
      </c>
      <c r="F270" s="233">
        <v>2214206</v>
      </c>
      <c r="G270" s="233">
        <v>227583</v>
      </c>
      <c r="H270" s="233"/>
      <c r="J270" s="233">
        <v>1198664</v>
      </c>
      <c r="K270" s="233">
        <v>642603</v>
      </c>
      <c r="L270" s="233">
        <v>255695</v>
      </c>
      <c r="M270" s="233">
        <v>-133191</v>
      </c>
      <c r="N270" s="224">
        <f t="shared" si="8"/>
        <v>122504</v>
      </c>
      <c r="O270" s="241">
        <f t="shared" si="9"/>
        <v>1841267</v>
      </c>
    </row>
    <row r="271" spans="1:15" ht="13.8" x14ac:dyDescent="0.25">
      <c r="A271" s="220">
        <v>39000</v>
      </c>
      <c r="B271" s="222" t="s">
        <v>395</v>
      </c>
      <c r="C271" s="225">
        <v>426208809</v>
      </c>
      <c r="D271" s="233">
        <v>3473851</v>
      </c>
      <c r="E271" s="233">
        <v>1826374</v>
      </c>
      <c r="F271" s="233">
        <v>102648485</v>
      </c>
      <c r="G271" s="233">
        <v>5973660</v>
      </c>
      <c r="H271" s="233"/>
      <c r="J271" s="233">
        <v>55568927</v>
      </c>
      <c r="K271" s="233">
        <v>28130674</v>
      </c>
      <c r="L271" s="233">
        <v>11853814</v>
      </c>
      <c r="M271" s="233">
        <v>-8753735</v>
      </c>
      <c r="N271" s="224">
        <f t="shared" si="8"/>
        <v>3100079</v>
      </c>
      <c r="O271" s="241">
        <f t="shared" si="9"/>
        <v>83699601</v>
      </c>
    </row>
    <row r="272" spans="1:15" ht="13.8" x14ac:dyDescent="0.25">
      <c r="A272" s="220">
        <v>39100</v>
      </c>
      <c r="B272" s="222" t="s">
        <v>396</v>
      </c>
      <c r="C272" s="225">
        <v>51251670</v>
      </c>
      <c r="D272" s="233">
        <v>417731</v>
      </c>
      <c r="E272" s="233">
        <v>219622</v>
      </c>
      <c r="F272" s="233">
        <v>12343495</v>
      </c>
      <c r="G272" s="233">
        <v>1803276</v>
      </c>
      <c r="H272" s="233"/>
      <c r="J272" s="233">
        <v>6682171</v>
      </c>
      <c r="K272" s="233">
        <v>3282571</v>
      </c>
      <c r="L272" s="233">
        <v>1425422</v>
      </c>
      <c r="M272" s="233">
        <v>-2839832</v>
      </c>
      <c r="N272" s="224">
        <f t="shared" si="8"/>
        <v>-1414410</v>
      </c>
      <c r="O272" s="241">
        <f t="shared" si="9"/>
        <v>9964742</v>
      </c>
    </row>
    <row r="273" spans="1:15" ht="13.8" x14ac:dyDescent="0.25">
      <c r="A273" s="220">
        <v>39101</v>
      </c>
      <c r="B273" s="222" t="s">
        <v>397</v>
      </c>
      <c r="C273" s="225">
        <v>9286025</v>
      </c>
      <c r="D273" s="233">
        <v>75687</v>
      </c>
      <c r="E273" s="233">
        <v>39792</v>
      </c>
      <c r="F273" s="233">
        <v>2236454</v>
      </c>
      <c r="G273" s="233">
        <v>715624</v>
      </c>
      <c r="H273" s="233"/>
      <c r="J273" s="233">
        <v>1210708</v>
      </c>
      <c r="K273" s="233">
        <v>0</v>
      </c>
      <c r="L273" s="233">
        <v>258265</v>
      </c>
      <c r="M273" s="233">
        <v>478191</v>
      </c>
      <c r="N273" s="224">
        <f t="shared" si="8"/>
        <v>736456</v>
      </c>
      <c r="O273" s="241">
        <f t="shared" si="9"/>
        <v>1210708</v>
      </c>
    </row>
    <row r="274" spans="1:15" ht="13.8" x14ac:dyDescent="0.25">
      <c r="A274" s="219">
        <v>39105</v>
      </c>
      <c r="B274" s="221" t="s">
        <v>107</v>
      </c>
      <c r="C274" s="224">
        <v>21918512</v>
      </c>
      <c r="D274" s="224">
        <v>178649</v>
      </c>
      <c r="E274" s="224">
        <v>93924</v>
      </c>
      <c r="F274" s="224">
        <v>5278873</v>
      </c>
      <c r="G274" s="224">
        <v>1810951</v>
      </c>
      <c r="H274" s="224"/>
      <c r="J274" s="224">
        <v>2857726</v>
      </c>
      <c r="K274" s="224">
        <v>967519</v>
      </c>
      <c r="L274" s="224">
        <v>609603</v>
      </c>
      <c r="M274" s="224">
        <v>-995893</v>
      </c>
      <c r="N274" s="224">
        <f t="shared" si="8"/>
        <v>-386290</v>
      </c>
      <c r="O274" s="241">
        <f t="shared" si="9"/>
        <v>3825245</v>
      </c>
    </row>
    <row r="275" spans="1:15" ht="13.8" x14ac:dyDescent="0.25">
      <c r="A275" s="219">
        <v>39200</v>
      </c>
      <c r="B275" s="221" t="s">
        <v>486</v>
      </c>
      <c r="C275" s="224">
        <v>2007836741</v>
      </c>
      <c r="D275" s="224">
        <v>16365042</v>
      </c>
      <c r="E275" s="224">
        <v>8603908</v>
      </c>
      <c r="F275" s="224">
        <v>483569070</v>
      </c>
      <c r="G275" s="224">
        <v>36347152</v>
      </c>
      <c r="H275" s="224"/>
      <c r="J275" s="224">
        <v>261780915</v>
      </c>
      <c r="K275" s="224">
        <v>32825884</v>
      </c>
      <c r="L275" s="224">
        <v>55842404</v>
      </c>
      <c r="M275" s="224">
        <v>-7637488</v>
      </c>
      <c r="N275" s="224">
        <f t="shared" si="8"/>
        <v>48204916</v>
      </c>
      <c r="O275" s="241">
        <f t="shared" si="9"/>
        <v>294606799</v>
      </c>
    </row>
    <row r="276" spans="1:15" ht="13.8" x14ac:dyDescent="0.25">
      <c r="A276" s="219">
        <v>39201</v>
      </c>
      <c r="B276" s="221" t="s">
        <v>398</v>
      </c>
      <c r="C276" s="224">
        <v>8557415</v>
      </c>
      <c r="D276" s="224">
        <v>69748</v>
      </c>
      <c r="E276" s="224">
        <v>36670</v>
      </c>
      <c r="F276" s="224">
        <v>2060975</v>
      </c>
      <c r="G276" s="224">
        <v>1460061</v>
      </c>
      <c r="H276" s="224"/>
      <c r="J276" s="224">
        <v>1115712</v>
      </c>
      <c r="K276" s="224">
        <v>30729</v>
      </c>
      <c r="L276" s="224">
        <v>237999</v>
      </c>
      <c r="M276" s="224">
        <v>410344</v>
      </c>
      <c r="N276" s="224">
        <f t="shared" si="8"/>
        <v>648343</v>
      </c>
      <c r="O276" s="241">
        <f t="shared" si="9"/>
        <v>1146441</v>
      </c>
    </row>
    <row r="277" spans="1:15" ht="13.8" x14ac:dyDescent="0.25">
      <c r="A277" s="219">
        <v>39204</v>
      </c>
      <c r="B277" s="221" t="s">
        <v>399</v>
      </c>
      <c r="C277" s="224">
        <v>5327348</v>
      </c>
      <c r="D277" s="224">
        <v>43421</v>
      </c>
      <c r="E277" s="224">
        <v>22829</v>
      </c>
      <c r="F277" s="224">
        <v>1283043</v>
      </c>
      <c r="G277" s="224">
        <v>343284</v>
      </c>
      <c r="H277" s="224"/>
      <c r="J277" s="224">
        <v>694577</v>
      </c>
      <c r="K277" s="224">
        <v>2609457</v>
      </c>
      <c r="L277" s="224">
        <v>148166</v>
      </c>
      <c r="M277" s="224">
        <v>-248553</v>
      </c>
      <c r="N277" s="224">
        <f t="shared" si="8"/>
        <v>-100387</v>
      </c>
      <c r="O277" s="241">
        <f t="shared" si="9"/>
        <v>3304034</v>
      </c>
    </row>
    <row r="278" spans="1:15" ht="13.8" x14ac:dyDescent="0.25">
      <c r="A278" s="219">
        <v>39205</v>
      </c>
      <c r="B278" s="221" t="s">
        <v>108</v>
      </c>
      <c r="C278" s="224">
        <v>173371077</v>
      </c>
      <c r="D278" s="224">
        <v>1413076</v>
      </c>
      <c r="E278" s="224">
        <v>742923</v>
      </c>
      <c r="F278" s="224">
        <v>41754834</v>
      </c>
      <c r="G278" s="224">
        <v>8443101</v>
      </c>
      <c r="H278" s="224"/>
      <c r="J278" s="224">
        <v>22604049</v>
      </c>
      <c r="K278" s="224">
        <v>1386306</v>
      </c>
      <c r="L278" s="224">
        <v>4821836</v>
      </c>
      <c r="M278" s="224">
        <v>2814848</v>
      </c>
      <c r="N278" s="224">
        <f t="shared" si="8"/>
        <v>7636684</v>
      </c>
      <c r="O278" s="241">
        <f t="shared" si="9"/>
        <v>23990355</v>
      </c>
    </row>
    <row r="279" spans="1:15" ht="13.8" x14ac:dyDescent="0.25">
      <c r="A279" s="219">
        <v>39208</v>
      </c>
      <c r="B279" s="221" t="s">
        <v>487</v>
      </c>
      <c r="C279" s="224">
        <v>12167800</v>
      </c>
      <c r="D279" s="224">
        <v>99175</v>
      </c>
      <c r="E279" s="224">
        <v>52141</v>
      </c>
      <c r="F279" s="224">
        <v>2930503</v>
      </c>
      <c r="G279" s="224">
        <v>378664</v>
      </c>
      <c r="H279" s="224"/>
      <c r="J279" s="224">
        <v>1586433</v>
      </c>
      <c r="K279" s="224">
        <v>526562</v>
      </c>
      <c r="L279" s="224">
        <v>338415</v>
      </c>
      <c r="M279" s="224">
        <v>-80068</v>
      </c>
      <c r="N279" s="224">
        <f t="shared" si="8"/>
        <v>258347</v>
      </c>
      <c r="O279" s="241">
        <f t="shared" si="9"/>
        <v>2112995</v>
      </c>
    </row>
    <row r="280" spans="1:15" ht="13.8" x14ac:dyDescent="0.25">
      <c r="A280" s="220">
        <v>39209</v>
      </c>
      <c r="B280" s="222" t="s">
        <v>400</v>
      </c>
      <c r="C280" s="225">
        <v>0</v>
      </c>
      <c r="D280" s="233">
        <v>0</v>
      </c>
      <c r="E280" s="233">
        <v>0</v>
      </c>
      <c r="F280" s="233">
        <v>0</v>
      </c>
      <c r="G280" s="233">
        <v>19588</v>
      </c>
      <c r="H280" s="233"/>
      <c r="J280" s="233">
        <v>0</v>
      </c>
      <c r="K280" s="233">
        <v>2496006</v>
      </c>
      <c r="L280" s="233">
        <v>0</v>
      </c>
      <c r="M280" s="233">
        <v>-1312887</v>
      </c>
      <c r="N280" s="224">
        <f t="shared" si="8"/>
        <v>-1312887</v>
      </c>
      <c r="O280" s="241">
        <f t="shared" si="9"/>
        <v>2496006</v>
      </c>
    </row>
    <row r="281" spans="1:15" ht="13.8" x14ac:dyDescent="0.25">
      <c r="A281" s="220">
        <v>39220</v>
      </c>
      <c r="B281" s="222" t="s">
        <v>423</v>
      </c>
      <c r="C281" s="225">
        <v>0</v>
      </c>
      <c r="D281" s="233">
        <v>0</v>
      </c>
      <c r="E281" s="233">
        <v>0</v>
      </c>
      <c r="F281" s="233">
        <v>0</v>
      </c>
      <c r="G281" s="233">
        <v>220466</v>
      </c>
      <c r="H281" s="233"/>
      <c r="J281" s="233">
        <v>0</v>
      </c>
      <c r="K281" s="233">
        <v>1191629</v>
      </c>
      <c r="L281" s="233">
        <v>0</v>
      </c>
      <c r="M281" s="233">
        <v>39486</v>
      </c>
      <c r="N281" s="224">
        <f t="shared" si="8"/>
        <v>39486</v>
      </c>
      <c r="O281" s="241">
        <f t="shared" si="9"/>
        <v>1191629</v>
      </c>
    </row>
    <row r="282" spans="1:15" ht="13.8" x14ac:dyDescent="0.25">
      <c r="A282" s="220">
        <v>39300</v>
      </c>
      <c r="B282" s="222" t="s">
        <v>401</v>
      </c>
      <c r="C282" s="226">
        <v>21807869</v>
      </c>
      <c r="D282" s="226">
        <v>177747</v>
      </c>
      <c r="E282" s="226">
        <v>93450</v>
      </c>
      <c r="F282" s="226">
        <v>5252225</v>
      </c>
      <c r="G282" s="226">
        <v>1876166</v>
      </c>
      <c r="H282" s="226"/>
      <c r="J282" s="226">
        <v>2843301</v>
      </c>
      <c r="K282" s="226">
        <v>1299753</v>
      </c>
      <c r="L282" s="226">
        <v>606526</v>
      </c>
      <c r="M282" s="233">
        <v>-443709</v>
      </c>
      <c r="N282" s="224">
        <f t="shared" si="8"/>
        <v>162817</v>
      </c>
      <c r="O282" s="241">
        <f t="shared" si="9"/>
        <v>4143054</v>
      </c>
    </row>
    <row r="283" spans="1:15" ht="13.8" x14ac:dyDescent="0.25">
      <c r="A283" s="220">
        <v>39301</v>
      </c>
      <c r="B283" s="222" t="s">
        <v>402</v>
      </c>
      <c r="C283" s="226">
        <v>1326130</v>
      </c>
      <c r="D283" s="226">
        <v>10809</v>
      </c>
      <c r="E283" s="226">
        <v>5683</v>
      </c>
      <c r="F283" s="226">
        <v>319386</v>
      </c>
      <c r="G283" s="226">
        <v>187585</v>
      </c>
      <c r="H283" s="226"/>
      <c r="J283" s="226">
        <v>172900</v>
      </c>
      <c r="K283" s="226">
        <v>19076</v>
      </c>
      <c r="L283" s="226">
        <v>36884</v>
      </c>
      <c r="M283" s="233">
        <v>13186</v>
      </c>
      <c r="N283" s="224">
        <f t="shared" si="8"/>
        <v>50070</v>
      </c>
      <c r="O283" s="241">
        <f t="shared" si="9"/>
        <v>191976</v>
      </c>
    </row>
    <row r="284" spans="1:15" ht="13.8" x14ac:dyDescent="0.25">
      <c r="A284" s="220">
        <v>39400</v>
      </c>
      <c r="B284" s="222" t="s">
        <v>403</v>
      </c>
      <c r="C284" s="225">
        <v>12610977</v>
      </c>
      <c r="D284" s="233">
        <v>102787</v>
      </c>
      <c r="E284" s="233">
        <v>54040</v>
      </c>
      <c r="F284" s="233">
        <v>3037238</v>
      </c>
      <c r="G284" s="233">
        <v>555504</v>
      </c>
      <c r="H284" s="233"/>
      <c r="J284" s="233">
        <v>1644214</v>
      </c>
      <c r="K284" s="233">
        <v>1395533</v>
      </c>
      <c r="L284" s="233">
        <v>350742</v>
      </c>
      <c r="M284" s="233">
        <v>-1102598</v>
      </c>
      <c r="N284" s="224">
        <f t="shared" si="8"/>
        <v>-751856</v>
      </c>
      <c r="O284" s="241">
        <f t="shared" si="9"/>
        <v>3039747</v>
      </c>
    </row>
    <row r="285" spans="1:15" ht="13.8" x14ac:dyDescent="0.25">
      <c r="A285" s="220">
        <v>39401</v>
      </c>
      <c r="B285" s="222" t="s">
        <v>404</v>
      </c>
      <c r="C285" s="225">
        <v>13561952</v>
      </c>
      <c r="D285" s="233">
        <v>110538</v>
      </c>
      <c r="E285" s="233">
        <v>58115</v>
      </c>
      <c r="F285" s="233">
        <v>3266272</v>
      </c>
      <c r="G285" s="233">
        <v>896584</v>
      </c>
      <c r="H285" s="233"/>
      <c r="J285" s="233">
        <v>1768202</v>
      </c>
      <c r="K285" s="233">
        <v>1463442</v>
      </c>
      <c r="L285" s="233">
        <v>377188</v>
      </c>
      <c r="M285" s="233">
        <v>271762</v>
      </c>
      <c r="N285" s="224">
        <f t="shared" si="8"/>
        <v>648950</v>
      </c>
      <c r="O285" s="241">
        <f t="shared" si="9"/>
        <v>3231644</v>
      </c>
    </row>
    <row r="286" spans="1:15" ht="13.8" x14ac:dyDescent="0.25">
      <c r="A286" s="219">
        <v>39500</v>
      </c>
      <c r="B286" s="221" t="s">
        <v>405</v>
      </c>
      <c r="C286" s="224">
        <v>66496807</v>
      </c>
      <c r="D286" s="224">
        <v>541988</v>
      </c>
      <c r="E286" s="224">
        <v>284950</v>
      </c>
      <c r="F286" s="224">
        <v>16015146</v>
      </c>
      <c r="G286" s="224">
        <v>4378208</v>
      </c>
      <c r="H286" s="224"/>
      <c r="J286" s="224">
        <v>8669826</v>
      </c>
      <c r="K286" s="224">
        <v>2764884</v>
      </c>
      <c r="L286" s="224">
        <v>1849424</v>
      </c>
      <c r="M286" s="224">
        <v>1188205</v>
      </c>
      <c r="N286" s="224">
        <f t="shared" si="8"/>
        <v>3037629</v>
      </c>
      <c r="O286" s="241">
        <f t="shared" si="9"/>
        <v>11434710</v>
      </c>
    </row>
    <row r="287" spans="1:15" ht="13.8" x14ac:dyDescent="0.25">
      <c r="A287" s="219">
        <v>39501</v>
      </c>
      <c r="B287" s="221" t="s">
        <v>460</v>
      </c>
      <c r="C287" s="224">
        <v>1502486</v>
      </c>
      <c r="D287" s="224">
        <v>12246</v>
      </c>
      <c r="E287" s="224">
        <v>6438</v>
      </c>
      <c r="F287" s="224">
        <v>361860</v>
      </c>
      <c r="G287" s="224">
        <v>41277</v>
      </c>
      <c r="H287" s="224"/>
      <c r="J287" s="224">
        <v>195893</v>
      </c>
      <c r="K287" s="224">
        <v>153069</v>
      </c>
      <c r="L287" s="224">
        <v>41788</v>
      </c>
      <c r="M287" s="224">
        <v>-75007</v>
      </c>
      <c r="N287" s="224">
        <f t="shared" si="8"/>
        <v>-33219</v>
      </c>
      <c r="O287" s="241">
        <f t="shared" si="9"/>
        <v>348962</v>
      </c>
    </row>
    <row r="288" spans="1:15" ht="13.8" x14ac:dyDescent="0.25">
      <c r="A288" s="219">
        <v>39600</v>
      </c>
      <c r="B288" s="221" t="s">
        <v>406</v>
      </c>
      <c r="C288" s="224">
        <v>171346672</v>
      </c>
      <c r="D288" s="224">
        <v>1396575</v>
      </c>
      <c r="E288" s="224">
        <v>734248</v>
      </c>
      <c r="F288" s="224">
        <v>41267275</v>
      </c>
      <c r="G288" s="224">
        <v>2421619</v>
      </c>
      <c r="H288" s="224"/>
      <c r="J288" s="224">
        <v>22340107</v>
      </c>
      <c r="K288" s="224">
        <v>10828076</v>
      </c>
      <c r="L288" s="224">
        <v>4765532</v>
      </c>
      <c r="M288" s="224">
        <v>-4412967</v>
      </c>
      <c r="N288" s="224">
        <f t="shared" si="8"/>
        <v>352565</v>
      </c>
      <c r="O288" s="241">
        <f t="shared" si="9"/>
        <v>33168183</v>
      </c>
    </row>
    <row r="289" spans="1:18" ht="13.8" x14ac:dyDescent="0.25">
      <c r="A289" s="219">
        <v>39605</v>
      </c>
      <c r="B289" s="221" t="s">
        <v>109</v>
      </c>
      <c r="C289" s="224">
        <v>24610507</v>
      </c>
      <c r="D289" s="224">
        <v>200590</v>
      </c>
      <c r="E289" s="224">
        <v>105460</v>
      </c>
      <c r="F289" s="224">
        <v>5927215</v>
      </c>
      <c r="G289" s="224">
        <v>324306</v>
      </c>
      <c r="H289" s="224"/>
      <c r="J289" s="224">
        <v>3208708</v>
      </c>
      <c r="K289" s="224">
        <v>2192555</v>
      </c>
      <c r="L289" s="224">
        <v>684471</v>
      </c>
      <c r="M289" s="224">
        <v>-778751</v>
      </c>
      <c r="N289" s="224">
        <f t="shared" si="8"/>
        <v>-94280</v>
      </c>
      <c r="O289" s="241">
        <f t="shared" si="9"/>
        <v>5401263</v>
      </c>
    </row>
    <row r="290" spans="1:18" ht="13.8" x14ac:dyDescent="0.25">
      <c r="A290" s="219">
        <v>39700</v>
      </c>
      <c r="B290" s="221" t="s">
        <v>407</v>
      </c>
      <c r="C290" s="224">
        <v>104339649</v>
      </c>
      <c r="D290" s="224">
        <v>850429</v>
      </c>
      <c r="E290" s="224">
        <v>447112</v>
      </c>
      <c r="F290" s="224">
        <v>25129248</v>
      </c>
      <c r="G290" s="224">
        <v>3618936</v>
      </c>
      <c r="H290" s="224"/>
      <c r="J290" s="224">
        <v>13603760</v>
      </c>
      <c r="K290" s="224">
        <v>3554282</v>
      </c>
      <c r="L290" s="224">
        <v>2901917</v>
      </c>
      <c r="M290" s="224">
        <v>-1319805</v>
      </c>
      <c r="N290" s="224">
        <f t="shared" si="8"/>
        <v>1582112</v>
      </c>
      <c r="O290" s="241">
        <f t="shared" si="9"/>
        <v>17158042</v>
      </c>
    </row>
    <row r="291" spans="1:18" ht="13.8" x14ac:dyDescent="0.25">
      <c r="A291" s="219">
        <v>39703</v>
      </c>
      <c r="B291" s="221" t="s">
        <v>408</v>
      </c>
      <c r="C291" s="224">
        <v>8274971</v>
      </c>
      <c r="D291" s="224">
        <v>67446</v>
      </c>
      <c r="E291" s="224">
        <v>35460</v>
      </c>
      <c r="F291" s="224">
        <v>1992951</v>
      </c>
      <c r="G291" s="224">
        <v>570401</v>
      </c>
      <c r="H291" s="224"/>
      <c r="J291" s="224">
        <v>1078887</v>
      </c>
      <c r="K291" s="224">
        <v>223118</v>
      </c>
      <c r="L291" s="224">
        <v>230146</v>
      </c>
      <c r="M291" s="224">
        <v>252269</v>
      </c>
      <c r="N291" s="224">
        <f t="shared" si="8"/>
        <v>482415</v>
      </c>
      <c r="O291" s="241">
        <f t="shared" si="9"/>
        <v>1302005</v>
      </c>
    </row>
    <row r="292" spans="1:18" ht="13.8" x14ac:dyDescent="0.25">
      <c r="A292" s="220">
        <v>39705</v>
      </c>
      <c r="B292" s="222" t="s">
        <v>110</v>
      </c>
      <c r="C292" s="225">
        <v>28277737</v>
      </c>
      <c r="D292" s="233">
        <v>230480</v>
      </c>
      <c r="E292" s="233">
        <v>121175</v>
      </c>
      <c r="F292" s="233">
        <v>6810434</v>
      </c>
      <c r="G292" s="233">
        <v>1452390</v>
      </c>
      <c r="H292" s="233"/>
      <c r="J292" s="233">
        <v>3686840</v>
      </c>
      <c r="K292" s="233">
        <v>77978</v>
      </c>
      <c r="L292" s="233">
        <v>786468</v>
      </c>
      <c r="M292" s="233">
        <v>428156</v>
      </c>
      <c r="N292" s="224">
        <f t="shared" si="8"/>
        <v>1214624</v>
      </c>
      <c r="O292" s="241">
        <f t="shared" si="9"/>
        <v>3764818</v>
      </c>
    </row>
    <row r="293" spans="1:18" ht="13.8" x14ac:dyDescent="0.25">
      <c r="A293" s="220">
        <v>39800</v>
      </c>
      <c r="B293" s="222" t="s">
        <v>409</v>
      </c>
      <c r="C293" s="225">
        <v>107106795</v>
      </c>
      <c r="D293" s="233">
        <v>872983</v>
      </c>
      <c r="E293" s="233">
        <v>458970</v>
      </c>
      <c r="F293" s="233">
        <v>25795689</v>
      </c>
      <c r="G293" s="233">
        <v>824016</v>
      </c>
      <c r="H293" s="233"/>
      <c r="J293" s="233">
        <v>13964539</v>
      </c>
      <c r="K293" s="233">
        <v>5924387</v>
      </c>
      <c r="L293" s="233">
        <v>2978877</v>
      </c>
      <c r="M293" s="233">
        <v>-4102241</v>
      </c>
      <c r="N293" s="224">
        <f t="shared" si="8"/>
        <v>-1123364</v>
      </c>
      <c r="O293" s="241">
        <f t="shared" si="9"/>
        <v>19888926</v>
      </c>
    </row>
    <row r="294" spans="1:18" ht="13.8" x14ac:dyDescent="0.25">
      <c r="A294" s="220">
        <v>39805</v>
      </c>
      <c r="B294" s="222" t="s">
        <v>111</v>
      </c>
      <c r="C294" s="225">
        <v>14303964</v>
      </c>
      <c r="D294" s="233">
        <v>116586</v>
      </c>
      <c r="E294" s="233">
        <v>61295</v>
      </c>
      <c r="F294" s="233">
        <v>3444979</v>
      </c>
      <c r="G294" s="233">
        <v>898421</v>
      </c>
      <c r="H294" s="233"/>
      <c r="J294" s="233">
        <v>1864945</v>
      </c>
      <c r="K294" s="233">
        <v>335516</v>
      </c>
      <c r="L294" s="233">
        <v>397826</v>
      </c>
      <c r="M294" s="233">
        <v>113475</v>
      </c>
      <c r="N294" s="224">
        <f t="shared" si="8"/>
        <v>511301</v>
      </c>
      <c r="O294" s="241">
        <f t="shared" si="9"/>
        <v>2200461</v>
      </c>
    </row>
    <row r="295" spans="1:18" ht="13.8" x14ac:dyDescent="0.25">
      <c r="A295" s="220">
        <v>39900</v>
      </c>
      <c r="B295" s="222" t="s">
        <v>410</v>
      </c>
      <c r="C295" s="225">
        <v>64006371</v>
      </c>
      <c r="D295" s="233">
        <v>521689</v>
      </c>
      <c r="E295" s="233">
        <v>274278</v>
      </c>
      <c r="F295" s="233">
        <v>15415348</v>
      </c>
      <c r="G295" s="233">
        <v>4502282</v>
      </c>
      <c r="H295" s="233"/>
      <c r="J295" s="233">
        <v>8345124</v>
      </c>
      <c r="K295" s="233">
        <v>1315929</v>
      </c>
      <c r="L295" s="233">
        <v>1780161</v>
      </c>
      <c r="M295" s="233">
        <v>89173</v>
      </c>
      <c r="N295" s="224">
        <f t="shared" si="8"/>
        <v>1869334</v>
      </c>
      <c r="O295" s="241">
        <f t="shared" si="9"/>
        <v>9661053</v>
      </c>
    </row>
    <row r="296" spans="1:18" ht="13.8" x14ac:dyDescent="0.25">
      <c r="A296" s="220">
        <v>40000</v>
      </c>
      <c r="B296" s="222" t="s">
        <v>411</v>
      </c>
      <c r="C296" s="225">
        <v>125281187</v>
      </c>
      <c r="D296" s="233">
        <v>1021115</v>
      </c>
      <c r="E296" s="233">
        <v>536850</v>
      </c>
      <c r="F296" s="233">
        <v>30172825</v>
      </c>
      <c r="G296" s="233">
        <v>20316766</v>
      </c>
      <c r="H296" s="233"/>
      <c r="J296" s="233">
        <v>16334109</v>
      </c>
      <c r="K296" s="233">
        <v>0</v>
      </c>
      <c r="L296" s="233">
        <v>3484346</v>
      </c>
      <c r="M296" s="233">
        <v>10988007</v>
      </c>
      <c r="N296" s="224">
        <f t="shared" si="8"/>
        <v>14472353</v>
      </c>
      <c r="O296" s="241">
        <f t="shared" si="9"/>
        <v>16334109</v>
      </c>
    </row>
    <row r="297" spans="1:18" ht="13.8" x14ac:dyDescent="0.25">
      <c r="A297" s="220">
        <v>51000</v>
      </c>
      <c r="B297" s="222" t="s">
        <v>461</v>
      </c>
      <c r="C297" s="225">
        <v>897002800</v>
      </c>
      <c r="D297" s="233">
        <v>7311097</v>
      </c>
      <c r="E297" s="233">
        <v>3843803</v>
      </c>
      <c r="F297" s="233">
        <v>216034901</v>
      </c>
      <c r="G297" s="233">
        <v>49593763</v>
      </c>
      <c r="H297" s="233"/>
      <c r="J297" s="233">
        <v>116950851</v>
      </c>
      <c r="K297" s="233">
        <v>19032022</v>
      </c>
      <c r="L297" s="233">
        <v>24947643</v>
      </c>
      <c r="M297" s="233">
        <v>12992690</v>
      </c>
      <c r="N297" s="224">
        <f t="shared" si="8"/>
        <v>37940333</v>
      </c>
      <c r="O297" s="241">
        <f t="shared" si="9"/>
        <v>135982873</v>
      </c>
    </row>
    <row r="298" spans="1:18" ht="13.8" x14ac:dyDescent="0.25">
      <c r="A298" s="219">
        <v>51000.2</v>
      </c>
      <c r="B298" s="221" t="s">
        <v>462</v>
      </c>
      <c r="C298" s="224">
        <v>1562256</v>
      </c>
      <c r="D298" s="224">
        <v>12733</v>
      </c>
      <c r="E298" s="224">
        <v>6695</v>
      </c>
      <c r="F298" s="224">
        <v>376255</v>
      </c>
      <c r="G298" s="224">
        <v>643482</v>
      </c>
      <c r="H298" s="224"/>
      <c r="J298" s="224">
        <v>203686</v>
      </c>
      <c r="K298" s="224">
        <v>150624</v>
      </c>
      <c r="L298" s="224">
        <v>43448</v>
      </c>
      <c r="M298" s="224">
        <v>214348</v>
      </c>
      <c r="N298" s="224">
        <f t="shared" si="8"/>
        <v>257796</v>
      </c>
      <c r="O298" s="241">
        <f t="shared" si="9"/>
        <v>354310</v>
      </c>
    </row>
    <row r="299" spans="1:18" ht="13.8" x14ac:dyDescent="0.25">
      <c r="A299" s="219">
        <v>51000.3</v>
      </c>
      <c r="B299" s="221" t="s">
        <v>800</v>
      </c>
      <c r="C299" s="224">
        <v>27145614</v>
      </c>
      <c r="D299" s="224">
        <v>221253</v>
      </c>
      <c r="E299" s="224">
        <v>116323</v>
      </c>
      <c r="F299" s="224">
        <v>6537772</v>
      </c>
      <c r="G299" s="224">
        <v>2066006</v>
      </c>
      <c r="H299" s="224"/>
      <c r="J299" s="224">
        <v>3539234</v>
      </c>
      <c r="K299" s="224">
        <v>0</v>
      </c>
      <c r="L299" s="224">
        <v>754980</v>
      </c>
      <c r="M299" s="224">
        <v>1157678</v>
      </c>
      <c r="N299" s="224">
        <f t="shared" si="8"/>
        <v>1912658</v>
      </c>
      <c r="O299" s="241">
        <f t="shared" si="9"/>
        <v>3539234</v>
      </c>
    </row>
    <row r="300" spans="1:18" ht="13.8" x14ac:dyDescent="0.25">
      <c r="A300" s="219">
        <v>60000</v>
      </c>
      <c r="B300" s="221" t="s">
        <v>463</v>
      </c>
      <c r="C300" s="224">
        <v>3535966</v>
      </c>
      <c r="D300" s="224">
        <v>28820</v>
      </c>
      <c r="E300" s="224">
        <v>15152</v>
      </c>
      <c r="F300" s="224">
        <v>851605</v>
      </c>
      <c r="G300" s="224">
        <v>194788</v>
      </c>
      <c r="H300" s="224"/>
      <c r="J300" s="224">
        <v>461018</v>
      </c>
      <c r="K300" s="224">
        <v>641218</v>
      </c>
      <c r="L300" s="224">
        <v>98344</v>
      </c>
      <c r="M300" s="224">
        <v>73705</v>
      </c>
      <c r="N300" s="224">
        <f t="shared" si="8"/>
        <v>172049</v>
      </c>
      <c r="O300" s="241">
        <f t="shared" si="9"/>
        <v>1102236</v>
      </c>
      <c r="R300" s="190"/>
    </row>
    <row r="301" spans="1:18" ht="13.8" x14ac:dyDescent="0.25">
      <c r="A301" s="219">
        <v>90901</v>
      </c>
      <c r="B301" s="221" t="s">
        <v>412</v>
      </c>
      <c r="C301" s="224">
        <v>26845763</v>
      </c>
      <c r="D301" s="224">
        <v>218809</v>
      </c>
      <c r="E301" s="224">
        <v>115038</v>
      </c>
      <c r="F301" s="224">
        <v>6465556</v>
      </c>
      <c r="G301" s="224">
        <v>136390</v>
      </c>
      <c r="H301" s="224"/>
      <c r="J301" s="224">
        <v>3500139</v>
      </c>
      <c r="K301" s="224">
        <v>917862</v>
      </c>
      <c r="L301" s="224">
        <v>746641</v>
      </c>
      <c r="M301" s="224">
        <v>135832</v>
      </c>
      <c r="N301" s="224">
        <f t="shared" si="8"/>
        <v>882473</v>
      </c>
      <c r="O301" s="241">
        <f t="shared" si="9"/>
        <v>4418001</v>
      </c>
    </row>
    <row r="302" spans="1:18" ht="13.8" x14ac:dyDescent="0.25">
      <c r="A302" s="219">
        <v>91041</v>
      </c>
      <c r="B302" s="221" t="s">
        <v>413</v>
      </c>
      <c r="C302" s="224">
        <v>6764403</v>
      </c>
      <c r="D302" s="224">
        <v>55134</v>
      </c>
      <c r="E302" s="224">
        <v>28987</v>
      </c>
      <c r="F302" s="224">
        <v>1629145</v>
      </c>
      <c r="G302" s="224">
        <v>774613</v>
      </c>
      <c r="H302" s="224"/>
      <c r="J302" s="224">
        <v>881940</v>
      </c>
      <c r="K302" s="224">
        <v>114838</v>
      </c>
      <c r="L302" s="224">
        <v>188133</v>
      </c>
      <c r="M302" s="224">
        <v>279395</v>
      </c>
      <c r="N302" s="224">
        <f t="shared" si="8"/>
        <v>467528</v>
      </c>
      <c r="O302" s="241">
        <f t="shared" si="9"/>
        <v>996778</v>
      </c>
    </row>
    <row r="303" spans="1:18" ht="13.8" x14ac:dyDescent="0.25">
      <c r="A303" s="219">
        <v>91111</v>
      </c>
      <c r="B303" s="221" t="s">
        <v>414</v>
      </c>
      <c r="C303" s="224">
        <v>3685169</v>
      </c>
      <c r="D303" s="224">
        <v>30036</v>
      </c>
      <c r="E303" s="224">
        <v>15792</v>
      </c>
      <c r="F303" s="224">
        <v>887539</v>
      </c>
      <c r="G303" s="224">
        <v>767603</v>
      </c>
      <c r="H303" s="224"/>
      <c r="J303" s="224">
        <v>480471</v>
      </c>
      <c r="K303" s="224">
        <v>140502</v>
      </c>
      <c r="L303" s="224">
        <v>102494</v>
      </c>
      <c r="M303" s="224">
        <v>174938</v>
      </c>
      <c r="N303" s="224">
        <f t="shared" si="8"/>
        <v>277432</v>
      </c>
      <c r="O303" s="241">
        <f t="shared" si="9"/>
        <v>620973</v>
      </c>
    </row>
    <row r="304" spans="1:18" ht="13.8" x14ac:dyDescent="0.25">
      <c r="A304" s="220">
        <v>91151</v>
      </c>
      <c r="B304" s="222" t="s">
        <v>415</v>
      </c>
      <c r="C304" s="225">
        <v>9412450</v>
      </c>
      <c r="D304" s="233">
        <v>76717</v>
      </c>
      <c r="E304" s="233">
        <v>40334</v>
      </c>
      <c r="F304" s="233">
        <v>2266902</v>
      </c>
      <c r="G304" s="233">
        <v>842014</v>
      </c>
      <c r="H304" s="233"/>
      <c r="J304" s="233">
        <v>1227191</v>
      </c>
      <c r="K304" s="233">
        <v>0</v>
      </c>
      <c r="L304" s="233">
        <v>261781</v>
      </c>
      <c r="M304" s="233">
        <v>372555</v>
      </c>
      <c r="N304" s="224">
        <f t="shared" si="8"/>
        <v>634336</v>
      </c>
      <c r="O304" s="241">
        <f t="shared" si="9"/>
        <v>1227191</v>
      </c>
    </row>
    <row r="305" spans="1:15" ht="13.8" x14ac:dyDescent="0.25">
      <c r="A305" s="220">
        <v>98101</v>
      </c>
      <c r="B305" s="222" t="s">
        <v>416</v>
      </c>
      <c r="C305" s="225">
        <v>36071974</v>
      </c>
      <c r="D305" s="233">
        <v>294008</v>
      </c>
      <c r="E305" s="233">
        <v>154574</v>
      </c>
      <c r="F305" s="233">
        <v>8687604</v>
      </c>
      <c r="G305" s="233">
        <v>946479</v>
      </c>
      <c r="H305" s="233"/>
      <c r="J305" s="233">
        <v>4703049</v>
      </c>
      <c r="K305" s="233">
        <v>944416</v>
      </c>
      <c r="L305" s="233">
        <v>1003241</v>
      </c>
      <c r="M305" s="233">
        <v>623276</v>
      </c>
      <c r="N305" s="224">
        <f t="shared" si="8"/>
        <v>1626517</v>
      </c>
      <c r="O305" s="241">
        <f t="shared" si="9"/>
        <v>5647465</v>
      </c>
    </row>
    <row r="306" spans="1:15" ht="13.8" x14ac:dyDescent="0.25">
      <c r="A306" s="220">
        <v>98103</v>
      </c>
      <c r="B306" s="222" t="s">
        <v>488</v>
      </c>
      <c r="C306" s="225">
        <v>5884134</v>
      </c>
      <c r="D306" s="233">
        <v>47959</v>
      </c>
      <c r="E306" s="233">
        <v>25214</v>
      </c>
      <c r="F306" s="233">
        <v>1417140</v>
      </c>
      <c r="G306" s="233">
        <v>142783</v>
      </c>
      <c r="H306" s="233"/>
      <c r="J306" s="233">
        <v>767171</v>
      </c>
      <c r="K306" s="226">
        <v>562253</v>
      </c>
      <c r="L306" s="233">
        <v>163652</v>
      </c>
      <c r="M306" s="233">
        <v>-7701</v>
      </c>
      <c r="N306" s="224">
        <f t="shared" si="8"/>
        <v>155951</v>
      </c>
      <c r="O306" s="241">
        <f t="shared" si="9"/>
        <v>1329424</v>
      </c>
    </row>
    <row r="307" spans="1:15" ht="13.8" x14ac:dyDescent="0.25">
      <c r="A307" s="220">
        <v>98111</v>
      </c>
      <c r="B307" s="222" t="s">
        <v>417</v>
      </c>
      <c r="C307" s="225">
        <v>14673041</v>
      </c>
      <c r="D307" s="233">
        <v>119594</v>
      </c>
      <c r="E307" s="233">
        <v>62876</v>
      </c>
      <c r="F307" s="233">
        <v>3533867</v>
      </c>
      <c r="G307" s="233">
        <v>1025447</v>
      </c>
      <c r="H307" s="233"/>
      <c r="J307" s="233">
        <v>1913065</v>
      </c>
      <c r="K307" s="233">
        <v>75426</v>
      </c>
      <c r="L307" s="233">
        <v>408089</v>
      </c>
      <c r="M307" s="233">
        <v>373720</v>
      </c>
      <c r="N307" s="224">
        <f t="shared" si="8"/>
        <v>781809</v>
      </c>
      <c r="O307" s="241">
        <f t="shared" si="9"/>
        <v>1988491</v>
      </c>
    </row>
    <row r="308" spans="1:15" ht="13.8" x14ac:dyDescent="0.25">
      <c r="A308" s="220">
        <v>98131</v>
      </c>
      <c r="B308" s="223" t="s">
        <v>418</v>
      </c>
      <c r="C308" s="225">
        <v>3656347</v>
      </c>
      <c r="D308" s="233">
        <v>29801</v>
      </c>
      <c r="E308" s="233">
        <v>15668</v>
      </c>
      <c r="F308" s="233">
        <v>880598</v>
      </c>
      <c r="G308" s="233">
        <v>650395</v>
      </c>
      <c r="H308" s="233"/>
      <c r="J308" s="233">
        <v>476713</v>
      </c>
      <c r="K308" s="233">
        <v>189548</v>
      </c>
      <c r="L308" s="233">
        <v>101692</v>
      </c>
      <c r="M308" s="233">
        <v>198414</v>
      </c>
      <c r="N308" s="224">
        <f t="shared" si="8"/>
        <v>300106</v>
      </c>
      <c r="O308" s="241">
        <f t="shared" si="9"/>
        <v>666261</v>
      </c>
    </row>
    <row r="309" spans="1:15" ht="13.8" x14ac:dyDescent="0.25">
      <c r="A309" s="220">
        <v>99401</v>
      </c>
      <c r="B309" s="222" t="s">
        <v>419</v>
      </c>
      <c r="C309" s="225">
        <v>9196089</v>
      </c>
      <c r="D309" s="233">
        <v>74953</v>
      </c>
      <c r="E309" s="233">
        <v>39407</v>
      </c>
      <c r="F309" s="233">
        <v>2214794</v>
      </c>
      <c r="G309" s="233">
        <v>361904</v>
      </c>
      <c r="H309" s="233"/>
      <c r="J309" s="233">
        <v>1198982</v>
      </c>
      <c r="K309" s="233">
        <v>1113864</v>
      </c>
      <c r="L309" s="233">
        <v>255765</v>
      </c>
      <c r="M309" s="233">
        <v>-125022</v>
      </c>
      <c r="N309" s="224">
        <f t="shared" si="8"/>
        <v>130743</v>
      </c>
      <c r="O309" s="241">
        <f t="shared" si="9"/>
        <v>2312846</v>
      </c>
    </row>
    <row r="310" spans="1:15" ht="13.8" x14ac:dyDescent="0.25">
      <c r="A310" s="219">
        <v>99521</v>
      </c>
      <c r="B310" s="221" t="s">
        <v>420</v>
      </c>
      <c r="C310" s="224">
        <v>8552745</v>
      </c>
      <c r="D310" s="224">
        <v>69710</v>
      </c>
      <c r="E310" s="224">
        <v>36650</v>
      </c>
      <c r="F310" s="224">
        <v>2059850</v>
      </c>
      <c r="G310" s="224">
        <v>1028826</v>
      </c>
      <c r="H310" s="224"/>
      <c r="J310" s="224">
        <v>1115103</v>
      </c>
      <c r="K310" s="224">
        <v>0</v>
      </c>
      <c r="L310" s="224">
        <v>237870</v>
      </c>
      <c r="M310" s="224">
        <v>511182</v>
      </c>
      <c r="N310" s="224">
        <f t="shared" si="8"/>
        <v>749052</v>
      </c>
      <c r="O310" s="241">
        <f t="shared" si="9"/>
        <v>1115103</v>
      </c>
    </row>
    <row r="311" spans="1:15" ht="13.8" x14ac:dyDescent="0.25">
      <c r="A311" s="219">
        <v>99831</v>
      </c>
      <c r="B311" s="221" t="s">
        <v>421</v>
      </c>
      <c r="C311" s="224">
        <v>519512</v>
      </c>
      <c r="D311" s="224">
        <v>4234</v>
      </c>
      <c r="E311" s="224">
        <v>2226</v>
      </c>
      <c r="F311" s="224">
        <v>125120</v>
      </c>
      <c r="G311" s="224">
        <v>99181</v>
      </c>
      <c r="H311" s="224"/>
      <c r="J311" s="224">
        <v>67734</v>
      </c>
      <c r="K311" s="224">
        <v>151278</v>
      </c>
      <c r="L311" s="224">
        <v>14448</v>
      </c>
      <c r="M311" s="224">
        <v>-16325</v>
      </c>
      <c r="N311" s="224">
        <f t="shared" si="8"/>
        <v>-1877</v>
      </c>
      <c r="O311" s="241">
        <f t="shared" si="9"/>
        <v>219012</v>
      </c>
    </row>
    <row r="312" spans="1:15" ht="13.8" x14ac:dyDescent="0.25">
      <c r="A312" s="220"/>
      <c r="B312" s="221"/>
      <c r="C312" s="224"/>
      <c r="D312" s="224"/>
      <c r="E312" s="224"/>
      <c r="F312" s="224"/>
      <c r="G312" s="224"/>
      <c r="H312" s="224"/>
      <c r="J312" s="224"/>
      <c r="K312" s="224"/>
      <c r="L312" s="224"/>
      <c r="M312" s="224"/>
      <c r="N312" s="224">
        <f t="shared" si="8"/>
        <v>0</v>
      </c>
      <c r="O312" s="241">
        <f t="shared" si="9"/>
        <v>0</v>
      </c>
    </row>
    <row r="313" spans="1:15" ht="13.8" x14ac:dyDescent="0.25">
      <c r="A313" s="219"/>
      <c r="B313" s="221"/>
      <c r="C313" s="231"/>
      <c r="D313" s="227"/>
      <c r="E313" s="227"/>
      <c r="F313" s="227"/>
      <c r="G313" s="227"/>
      <c r="H313" s="227"/>
      <c r="J313" s="227"/>
      <c r="K313" s="227"/>
      <c r="L313" s="227"/>
      <c r="M313" s="227"/>
      <c r="N313" s="224">
        <f t="shared" si="8"/>
        <v>0</v>
      </c>
      <c r="O313" s="241">
        <f t="shared" si="9"/>
        <v>0</v>
      </c>
    </row>
    <row r="314" spans="1:15" s="230" customFormat="1" ht="13.8" thickBot="1" x14ac:dyDescent="0.3">
      <c r="C314" s="232">
        <f>SUM(C4:C313)</f>
        <v>34012589486</v>
      </c>
      <c r="D314" s="232">
        <f t="shared" ref="D314:M314" si="10">SUM(D4:D313)</f>
        <v>277222469</v>
      </c>
      <c r="E314" s="232">
        <f t="shared" si="10"/>
        <v>145749493</v>
      </c>
      <c r="F314" s="232">
        <f t="shared" si="10"/>
        <v>8191620343</v>
      </c>
      <c r="G314" s="232">
        <f t="shared" si="10"/>
        <v>1974884408</v>
      </c>
      <c r="H314" s="232">
        <f t="shared" si="10"/>
        <v>0</v>
      </c>
      <c r="I314" s="232">
        <f t="shared" si="10"/>
        <v>0</v>
      </c>
      <c r="J314" s="232">
        <f t="shared" si="10"/>
        <v>4434547222</v>
      </c>
      <c r="K314" s="232">
        <f t="shared" si="10"/>
        <v>1974884458</v>
      </c>
      <c r="L314" s="232">
        <f t="shared" si="10"/>
        <v>945965742</v>
      </c>
      <c r="M314" s="232">
        <f t="shared" si="10"/>
        <v>-42</v>
      </c>
      <c r="N314" s="232">
        <f>SUM(N4:N313)</f>
        <v>945965700</v>
      </c>
      <c r="O314" s="241">
        <f t="shared" si="9"/>
        <v>6409431680</v>
      </c>
    </row>
    <row r="315" spans="1:15" s="228" customFormat="1" ht="14.4" thickTop="1" x14ac:dyDescent="0.25">
      <c r="B315" s="229" t="s">
        <v>814</v>
      </c>
      <c r="C315" s="228">
        <v>26647426243</v>
      </c>
      <c r="D315" s="228">
        <v>293440315</v>
      </c>
      <c r="E315" s="228">
        <v>212873326</v>
      </c>
      <c r="F315" s="228">
        <v>2886727438</v>
      </c>
      <c r="O315" s="241">
        <f t="shared" si="9"/>
        <v>0</v>
      </c>
    </row>
    <row r="316" spans="1:15" ht="13.8" x14ac:dyDescent="0.25">
      <c r="B316" s="221" t="s">
        <v>815</v>
      </c>
      <c r="C316" s="234">
        <f>C314-C315</f>
        <v>7365163243</v>
      </c>
      <c r="D316" s="234">
        <f t="shared" ref="D316:N316" si="11">D314-D315</f>
        <v>-16217846</v>
      </c>
      <c r="E316" s="234">
        <f t="shared" si="11"/>
        <v>-67123833</v>
      </c>
      <c r="F316" s="234">
        <f t="shared" si="11"/>
        <v>5304892905</v>
      </c>
      <c r="G316" s="234">
        <f t="shared" si="11"/>
        <v>1974884408</v>
      </c>
      <c r="H316" s="234">
        <f t="shared" si="11"/>
        <v>0</v>
      </c>
      <c r="I316" s="234">
        <f t="shared" si="11"/>
        <v>0</v>
      </c>
      <c r="J316" s="234">
        <f t="shared" si="11"/>
        <v>4434547222</v>
      </c>
      <c r="K316" s="234">
        <f t="shared" si="11"/>
        <v>1974884458</v>
      </c>
      <c r="L316" s="234">
        <f t="shared" si="11"/>
        <v>945965742</v>
      </c>
      <c r="M316" s="234">
        <f t="shared" si="11"/>
        <v>-42</v>
      </c>
      <c r="N316" s="234">
        <f t="shared" si="11"/>
        <v>945965700</v>
      </c>
      <c r="O316" s="241">
        <f t="shared" si="9"/>
        <v>6409431680</v>
      </c>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17"/>
  <sheetViews>
    <sheetView workbookViewId="0">
      <pane ySplit="3" topLeftCell="A4" activePane="bottomLeft" state="frozen"/>
      <selection pane="bottomLeft" activeCell="A305" sqref="A305"/>
    </sheetView>
  </sheetViews>
  <sheetFormatPr defaultRowHeight="13.2" x14ac:dyDescent="0.25"/>
  <cols>
    <col min="1" max="1" width="15.33203125" customWidth="1"/>
    <col min="2" max="2" width="44.88671875" customWidth="1"/>
    <col min="3" max="7" width="19.33203125" customWidth="1"/>
    <col min="8" max="8" width="9.33203125" customWidth="1"/>
    <col min="9" max="9" width="18.44140625" bestFit="1" customWidth="1"/>
  </cols>
  <sheetData>
    <row r="1" spans="1:7" x14ac:dyDescent="0.25">
      <c r="A1" s="5">
        <v>1</v>
      </c>
      <c r="B1" s="5">
        <v>2</v>
      </c>
      <c r="C1" s="5">
        <v>3</v>
      </c>
      <c r="D1" s="5">
        <v>4</v>
      </c>
      <c r="E1" s="5">
        <v>5</v>
      </c>
      <c r="F1" s="5">
        <v>6</v>
      </c>
      <c r="G1" s="5">
        <v>7</v>
      </c>
    </row>
    <row r="2" spans="1:7" ht="14.4" x14ac:dyDescent="0.3">
      <c r="C2" s="49" t="s">
        <v>464</v>
      </c>
      <c r="D2" s="49" t="s">
        <v>476</v>
      </c>
      <c r="E2" s="49" t="s">
        <v>479</v>
      </c>
      <c r="F2" s="49" t="s">
        <v>808</v>
      </c>
      <c r="G2" s="49" t="s">
        <v>849</v>
      </c>
    </row>
    <row r="3" spans="1:7" ht="43.2" x14ac:dyDescent="0.3">
      <c r="A3" s="49" t="s">
        <v>163</v>
      </c>
      <c r="B3" s="49" t="s">
        <v>164</v>
      </c>
      <c r="C3" s="49" t="s">
        <v>131</v>
      </c>
      <c r="D3" s="49" t="s">
        <v>131</v>
      </c>
      <c r="E3" s="49" t="s">
        <v>131</v>
      </c>
      <c r="F3" s="49" t="s">
        <v>131</v>
      </c>
      <c r="G3" s="49" t="s">
        <v>131</v>
      </c>
    </row>
    <row r="4" spans="1:7" ht="15.6" x14ac:dyDescent="0.3">
      <c r="A4" s="260">
        <v>10200</v>
      </c>
      <c r="B4" s="261" t="s">
        <v>489</v>
      </c>
      <c r="C4" s="212">
        <v>1614671</v>
      </c>
      <c r="D4" s="212">
        <v>2492838</v>
      </c>
      <c r="E4" s="212">
        <v>3108645</v>
      </c>
      <c r="F4" s="212">
        <v>2671978</v>
      </c>
      <c r="G4" s="212">
        <v>0</v>
      </c>
    </row>
    <row r="5" spans="1:7" ht="15.6" x14ac:dyDescent="0.3">
      <c r="A5" s="260">
        <v>10400</v>
      </c>
      <c r="B5" s="261" t="s">
        <v>490</v>
      </c>
      <c r="C5" s="213">
        <v>1339871</v>
      </c>
      <c r="D5" s="213">
        <v>3776853</v>
      </c>
      <c r="E5" s="213">
        <v>7093692</v>
      </c>
      <c r="F5" s="213">
        <v>5461830</v>
      </c>
      <c r="G5" s="213">
        <v>0</v>
      </c>
    </row>
    <row r="6" spans="1:7" ht="15.6" x14ac:dyDescent="0.3">
      <c r="A6" s="260">
        <v>10500</v>
      </c>
      <c r="B6" s="261" t="s">
        <v>491</v>
      </c>
      <c r="C6" s="212">
        <v>-297908</v>
      </c>
      <c r="D6" s="212">
        <v>190435</v>
      </c>
      <c r="E6" s="212">
        <v>819988</v>
      </c>
      <c r="F6" s="212">
        <v>857579</v>
      </c>
      <c r="G6" s="212">
        <v>0</v>
      </c>
    </row>
    <row r="7" spans="1:7" ht="15.6" x14ac:dyDescent="0.3">
      <c r="A7" s="260">
        <v>10700</v>
      </c>
      <c r="B7" s="261" t="s">
        <v>492</v>
      </c>
      <c r="C7" s="213">
        <v>-271426</v>
      </c>
      <c r="D7" s="213">
        <v>3951179</v>
      </c>
      <c r="E7" s="213">
        <v>9070131</v>
      </c>
      <c r="F7" s="213">
        <v>7380368</v>
      </c>
      <c r="G7" s="213">
        <v>0</v>
      </c>
    </row>
    <row r="8" spans="1:7" ht="15.6" x14ac:dyDescent="0.3">
      <c r="A8" s="260">
        <v>10800</v>
      </c>
      <c r="B8" s="261" t="s">
        <v>493</v>
      </c>
      <c r="C8" s="212">
        <v>7848621</v>
      </c>
      <c r="D8" s="212">
        <v>25968129</v>
      </c>
      <c r="E8" s="212">
        <v>46991297</v>
      </c>
      <c r="F8" s="212">
        <v>34808499</v>
      </c>
      <c r="G8" s="212">
        <v>0</v>
      </c>
    </row>
    <row r="9" spans="1:7" ht="15.6" x14ac:dyDescent="0.3">
      <c r="A9" s="260">
        <v>10850</v>
      </c>
      <c r="B9" s="261" t="s">
        <v>494</v>
      </c>
      <c r="C9" s="213">
        <v>156801</v>
      </c>
      <c r="D9" s="213">
        <v>328571</v>
      </c>
      <c r="E9" s="213">
        <v>643863</v>
      </c>
      <c r="F9" s="213">
        <v>429263</v>
      </c>
      <c r="G9" s="213">
        <v>0</v>
      </c>
    </row>
    <row r="10" spans="1:7" ht="15.6" x14ac:dyDescent="0.3">
      <c r="A10" s="260">
        <v>10900</v>
      </c>
      <c r="B10" s="261" t="s">
        <v>495</v>
      </c>
      <c r="C10" s="212">
        <v>2120349</v>
      </c>
      <c r="D10" s="212">
        <v>3730364</v>
      </c>
      <c r="E10" s="212">
        <v>4390737</v>
      </c>
      <c r="F10" s="212">
        <v>3329299</v>
      </c>
      <c r="G10" s="212">
        <v>0</v>
      </c>
    </row>
    <row r="11" spans="1:7" ht="15.6" x14ac:dyDescent="0.3">
      <c r="A11" s="260">
        <v>10910</v>
      </c>
      <c r="B11" s="261" t="s">
        <v>496</v>
      </c>
      <c r="C11" s="213">
        <v>1183708</v>
      </c>
      <c r="D11" s="213">
        <v>1425297</v>
      </c>
      <c r="E11" s="213">
        <v>1338809</v>
      </c>
      <c r="F11" s="213">
        <v>760468</v>
      </c>
      <c r="G11" s="213">
        <v>0</v>
      </c>
    </row>
    <row r="12" spans="1:7" ht="15.6" x14ac:dyDescent="0.3">
      <c r="A12" s="260">
        <v>10930</v>
      </c>
      <c r="B12" s="261" t="s">
        <v>497</v>
      </c>
      <c r="C12" s="212">
        <v>8789122</v>
      </c>
      <c r="D12" s="212">
        <v>11752721</v>
      </c>
      <c r="E12" s="212">
        <v>15328118</v>
      </c>
      <c r="F12" s="212">
        <v>10549745</v>
      </c>
      <c r="G12" s="212">
        <v>0</v>
      </c>
    </row>
    <row r="13" spans="1:7" ht="15.6" x14ac:dyDescent="0.3">
      <c r="A13" s="260">
        <v>10940</v>
      </c>
      <c r="B13" s="261" t="s">
        <v>498</v>
      </c>
      <c r="C13" s="213">
        <v>1231168</v>
      </c>
      <c r="D13" s="213">
        <v>1813374</v>
      </c>
      <c r="E13" s="213">
        <v>2350743</v>
      </c>
      <c r="F13" s="213">
        <v>1579985</v>
      </c>
      <c r="G13" s="213">
        <v>0</v>
      </c>
    </row>
    <row r="14" spans="1:7" ht="15.6" x14ac:dyDescent="0.3">
      <c r="A14" s="260">
        <v>10950</v>
      </c>
      <c r="B14" s="261" t="s">
        <v>499</v>
      </c>
      <c r="C14" s="212">
        <v>1672679</v>
      </c>
      <c r="D14" s="212">
        <v>2613449</v>
      </c>
      <c r="E14" s="212">
        <v>3574236</v>
      </c>
      <c r="F14" s="212">
        <v>2139992</v>
      </c>
      <c r="G14" s="212">
        <v>0</v>
      </c>
    </row>
    <row r="15" spans="1:7" ht="15.6" x14ac:dyDescent="0.3">
      <c r="A15" s="260">
        <v>11000</v>
      </c>
      <c r="B15" s="261" t="s">
        <v>850</v>
      </c>
      <c r="C15" s="213">
        <v>427822</v>
      </c>
      <c r="D15" s="213">
        <v>427822</v>
      </c>
      <c r="E15" s="213">
        <v>427822</v>
      </c>
      <c r="F15" s="213">
        <v>427822</v>
      </c>
      <c r="G15" s="213">
        <v>0</v>
      </c>
    </row>
    <row r="16" spans="1:7" ht="31.2" x14ac:dyDescent="0.3">
      <c r="A16" s="260">
        <v>11050</v>
      </c>
      <c r="B16" s="261" t="s">
        <v>500</v>
      </c>
      <c r="C16" s="212">
        <v>81888</v>
      </c>
      <c r="D16" s="212">
        <v>148035</v>
      </c>
      <c r="E16" s="212">
        <v>407298</v>
      </c>
      <c r="F16" s="212">
        <v>326959</v>
      </c>
      <c r="G16" s="212">
        <v>0</v>
      </c>
    </row>
    <row r="17" spans="1:7" ht="15.6" x14ac:dyDescent="0.3">
      <c r="A17" s="260">
        <v>11300</v>
      </c>
      <c r="B17" s="261" t="s">
        <v>501</v>
      </c>
      <c r="C17" s="213">
        <v>755775</v>
      </c>
      <c r="D17" s="213">
        <v>4803160</v>
      </c>
      <c r="E17" s="213">
        <v>9195308</v>
      </c>
      <c r="F17" s="213">
        <v>7952706</v>
      </c>
      <c r="G17" s="213">
        <v>0</v>
      </c>
    </row>
    <row r="18" spans="1:7" ht="15.6" x14ac:dyDescent="0.3">
      <c r="A18" s="260">
        <v>11310</v>
      </c>
      <c r="B18" s="261" t="s">
        <v>502</v>
      </c>
      <c r="C18" s="212">
        <v>202848</v>
      </c>
      <c r="D18" s="212">
        <v>628432</v>
      </c>
      <c r="E18" s="212">
        <v>1067700</v>
      </c>
      <c r="F18" s="212">
        <v>908847</v>
      </c>
      <c r="G18" s="212">
        <v>0</v>
      </c>
    </row>
    <row r="19" spans="1:7" ht="15.6" x14ac:dyDescent="0.3">
      <c r="A19" s="260">
        <v>11600</v>
      </c>
      <c r="B19" s="261" t="s">
        <v>503</v>
      </c>
      <c r="C19" s="213">
        <v>1024372</v>
      </c>
      <c r="D19" s="213">
        <v>2562290</v>
      </c>
      <c r="E19" s="213">
        <v>5078344</v>
      </c>
      <c r="F19" s="213">
        <v>3645794</v>
      </c>
      <c r="G19" s="213">
        <v>0</v>
      </c>
    </row>
    <row r="20" spans="1:7" ht="15.6" x14ac:dyDescent="0.3">
      <c r="A20" s="260">
        <v>11900</v>
      </c>
      <c r="B20" s="261" t="s">
        <v>504</v>
      </c>
      <c r="C20" s="212">
        <v>497633</v>
      </c>
      <c r="D20" s="212">
        <v>667091</v>
      </c>
      <c r="E20" s="212">
        <v>162729</v>
      </c>
      <c r="F20" s="212">
        <v>221589</v>
      </c>
      <c r="G20" s="212">
        <v>0</v>
      </c>
    </row>
    <row r="21" spans="1:7" ht="15.6" x14ac:dyDescent="0.3">
      <c r="A21" s="260">
        <v>12100</v>
      </c>
      <c r="B21" s="261" t="s">
        <v>505</v>
      </c>
      <c r="C21" s="213">
        <v>264953</v>
      </c>
      <c r="D21" s="213">
        <v>368671</v>
      </c>
      <c r="E21" s="213">
        <v>626891</v>
      </c>
      <c r="F21" s="213">
        <v>423657</v>
      </c>
      <c r="G21" s="213">
        <v>0</v>
      </c>
    </row>
    <row r="22" spans="1:7" ht="15.6" x14ac:dyDescent="0.3">
      <c r="A22" s="260">
        <v>12150</v>
      </c>
      <c r="B22" s="261" t="s">
        <v>506</v>
      </c>
      <c r="C22" s="212">
        <v>-190348</v>
      </c>
      <c r="D22" s="212">
        <v>-142798</v>
      </c>
      <c r="E22" s="212">
        <v>57010</v>
      </c>
      <c r="F22" s="212">
        <v>32018</v>
      </c>
      <c r="G22" s="212">
        <v>0</v>
      </c>
    </row>
    <row r="23" spans="1:7" ht="15.6" x14ac:dyDescent="0.3">
      <c r="A23" s="260">
        <v>12160</v>
      </c>
      <c r="B23" s="261" t="s">
        <v>507</v>
      </c>
      <c r="C23" s="213">
        <v>841621</v>
      </c>
      <c r="D23" s="213">
        <v>1787265</v>
      </c>
      <c r="E23" s="213">
        <v>3969543</v>
      </c>
      <c r="F23" s="213">
        <v>3158328</v>
      </c>
      <c r="G23" s="213">
        <v>0</v>
      </c>
    </row>
    <row r="24" spans="1:7" ht="15.6" x14ac:dyDescent="0.3">
      <c r="A24" s="260">
        <v>12220</v>
      </c>
      <c r="B24" s="261" t="s">
        <v>508</v>
      </c>
      <c r="C24" s="212">
        <v>-18813212</v>
      </c>
      <c r="D24" s="212">
        <v>16687293</v>
      </c>
      <c r="E24" s="212">
        <v>63084918</v>
      </c>
      <c r="F24" s="212">
        <v>62475931</v>
      </c>
      <c r="G24" s="212">
        <v>0</v>
      </c>
    </row>
    <row r="25" spans="1:7" ht="15.6" x14ac:dyDescent="0.3">
      <c r="A25" s="260">
        <v>12510</v>
      </c>
      <c r="B25" s="261" t="s">
        <v>509</v>
      </c>
      <c r="C25" s="213">
        <v>606679</v>
      </c>
      <c r="D25" s="213">
        <v>4758984</v>
      </c>
      <c r="E25" s="213">
        <v>4906357</v>
      </c>
      <c r="F25" s="213">
        <v>5592157</v>
      </c>
      <c r="G25" s="213">
        <v>0</v>
      </c>
    </row>
    <row r="26" spans="1:7" ht="15.6" x14ac:dyDescent="0.3">
      <c r="A26" s="260">
        <v>12600</v>
      </c>
      <c r="B26" s="261" t="s">
        <v>510</v>
      </c>
      <c r="C26" s="212">
        <v>-282245</v>
      </c>
      <c r="D26" s="212">
        <v>1056031</v>
      </c>
      <c r="E26" s="212">
        <v>3417196</v>
      </c>
      <c r="F26" s="212">
        <v>2892983</v>
      </c>
      <c r="G26" s="212">
        <v>0</v>
      </c>
    </row>
    <row r="27" spans="1:7" ht="15.6" x14ac:dyDescent="0.3">
      <c r="A27" s="260">
        <v>12700</v>
      </c>
      <c r="B27" s="261" t="s">
        <v>511</v>
      </c>
      <c r="C27" s="213">
        <v>-318700</v>
      </c>
      <c r="D27" s="213">
        <v>769783</v>
      </c>
      <c r="E27" s="213">
        <v>1876780</v>
      </c>
      <c r="F27" s="213">
        <v>1160617</v>
      </c>
      <c r="G27" s="213">
        <v>0</v>
      </c>
    </row>
    <row r="28" spans="1:7" ht="15.6" x14ac:dyDescent="0.3">
      <c r="A28" s="260">
        <v>13500</v>
      </c>
      <c r="B28" s="261" t="s">
        <v>512</v>
      </c>
      <c r="C28" s="212">
        <v>880325</v>
      </c>
      <c r="D28" s="212">
        <v>4448032</v>
      </c>
      <c r="E28" s="212">
        <v>8901500</v>
      </c>
      <c r="F28" s="212">
        <v>6958444</v>
      </c>
      <c r="G28" s="212">
        <v>0</v>
      </c>
    </row>
    <row r="29" spans="1:7" ht="15.6" x14ac:dyDescent="0.3">
      <c r="A29" s="260">
        <v>13700</v>
      </c>
      <c r="B29" s="261" t="s">
        <v>513</v>
      </c>
      <c r="C29" s="213">
        <v>437415</v>
      </c>
      <c r="D29" s="213">
        <v>797956</v>
      </c>
      <c r="E29" s="213">
        <v>1379152</v>
      </c>
      <c r="F29" s="213">
        <v>1022083</v>
      </c>
      <c r="G29" s="213">
        <v>0</v>
      </c>
    </row>
    <row r="30" spans="1:7" ht="15.6" x14ac:dyDescent="0.3">
      <c r="A30" s="260">
        <v>14300</v>
      </c>
      <c r="B30" s="261" t="s">
        <v>514</v>
      </c>
      <c r="C30" s="212">
        <v>166016</v>
      </c>
      <c r="D30" s="212">
        <v>1754078</v>
      </c>
      <c r="E30" s="212">
        <v>3137599</v>
      </c>
      <c r="F30" s="212">
        <v>2546512</v>
      </c>
      <c r="G30" s="212">
        <v>0</v>
      </c>
    </row>
    <row r="31" spans="1:7" ht="31.2" x14ac:dyDescent="0.3">
      <c r="A31" s="266">
        <v>14300.2</v>
      </c>
      <c r="B31" s="261" t="s">
        <v>515</v>
      </c>
      <c r="C31" s="213">
        <v>87088</v>
      </c>
      <c r="D31" s="213">
        <v>-121482</v>
      </c>
      <c r="E31" s="213">
        <v>238523</v>
      </c>
      <c r="F31" s="213">
        <v>139541</v>
      </c>
      <c r="G31" s="213">
        <v>0</v>
      </c>
    </row>
    <row r="32" spans="1:7" ht="15.6" x14ac:dyDescent="0.3">
      <c r="A32" s="260">
        <v>18400</v>
      </c>
      <c r="B32" s="261" t="s">
        <v>516</v>
      </c>
      <c r="C32" s="212">
        <v>-1340024</v>
      </c>
      <c r="D32" s="212">
        <v>3137524</v>
      </c>
      <c r="E32" s="212">
        <v>9175101</v>
      </c>
      <c r="F32" s="212">
        <v>7415112</v>
      </c>
      <c r="G32" s="212">
        <v>0</v>
      </c>
    </row>
    <row r="33" spans="1:7" ht="15.6" x14ac:dyDescent="0.3">
      <c r="A33" s="260">
        <v>18600</v>
      </c>
      <c r="B33" s="261" t="s">
        <v>517</v>
      </c>
      <c r="C33" s="213">
        <v>-23656</v>
      </c>
      <c r="D33" s="213">
        <v>-5877</v>
      </c>
      <c r="E33" s="213">
        <v>-11324</v>
      </c>
      <c r="F33" s="213">
        <v>14743</v>
      </c>
      <c r="G33" s="213">
        <v>0</v>
      </c>
    </row>
    <row r="34" spans="1:7" ht="15.6" x14ac:dyDescent="0.3">
      <c r="A34" s="260">
        <v>18640</v>
      </c>
      <c r="B34" s="261" t="s">
        <v>518</v>
      </c>
      <c r="C34" s="212">
        <v>4627</v>
      </c>
      <c r="D34" s="212">
        <v>6882</v>
      </c>
      <c r="E34" s="212">
        <v>6133</v>
      </c>
      <c r="F34" s="212">
        <v>5211</v>
      </c>
      <c r="G34" s="212">
        <v>0</v>
      </c>
    </row>
    <row r="35" spans="1:7" ht="15.6" x14ac:dyDescent="0.3">
      <c r="A35" s="260">
        <v>18690</v>
      </c>
      <c r="B35" s="261" t="s">
        <v>519</v>
      </c>
      <c r="C35" s="213">
        <v>0</v>
      </c>
      <c r="D35" s="213">
        <v>0</v>
      </c>
      <c r="E35" s="213">
        <v>0</v>
      </c>
      <c r="F35" s="213">
        <v>0</v>
      </c>
      <c r="G35" s="213">
        <v>0</v>
      </c>
    </row>
    <row r="36" spans="1:7" ht="15.6" x14ac:dyDescent="0.3">
      <c r="A36" s="260">
        <v>18740</v>
      </c>
      <c r="B36" s="261" t="s">
        <v>520</v>
      </c>
      <c r="C36" s="212">
        <v>-35054</v>
      </c>
      <c r="D36" s="212">
        <v>8369</v>
      </c>
      <c r="E36" s="212">
        <v>4690</v>
      </c>
      <c r="F36" s="212">
        <v>2444</v>
      </c>
      <c r="G36" s="212">
        <v>0</v>
      </c>
    </row>
    <row r="37" spans="1:7" ht="31.2" x14ac:dyDescent="0.3">
      <c r="A37" s="260">
        <v>18780</v>
      </c>
      <c r="B37" s="261" t="s">
        <v>521</v>
      </c>
      <c r="C37" s="213">
        <v>36945</v>
      </c>
      <c r="D37" s="213">
        <v>45991</v>
      </c>
      <c r="E37" s="213">
        <v>64889</v>
      </c>
      <c r="F37" s="213">
        <v>42272</v>
      </c>
      <c r="G37" s="213">
        <v>0</v>
      </c>
    </row>
    <row r="38" spans="1:7" ht="15.6" x14ac:dyDescent="0.3">
      <c r="A38" s="260">
        <v>19005</v>
      </c>
      <c r="B38" s="261" t="s">
        <v>522</v>
      </c>
      <c r="C38" s="212">
        <v>1437344</v>
      </c>
      <c r="D38" s="212">
        <v>2484994</v>
      </c>
      <c r="E38" s="212">
        <v>3445777</v>
      </c>
      <c r="F38" s="212">
        <v>2124848</v>
      </c>
      <c r="G38" s="212">
        <v>0</v>
      </c>
    </row>
    <row r="39" spans="1:7" ht="15.6" x14ac:dyDescent="0.3">
      <c r="A39" s="260">
        <v>19100</v>
      </c>
      <c r="B39" s="261" t="s">
        <v>523</v>
      </c>
      <c r="C39" s="213">
        <v>-291618004</v>
      </c>
      <c r="D39" s="213">
        <v>-272628234</v>
      </c>
      <c r="E39" s="213">
        <v>-247578136</v>
      </c>
      <c r="F39" s="213">
        <v>26407603</v>
      </c>
      <c r="G39" s="213">
        <v>0</v>
      </c>
    </row>
    <row r="40" spans="1:7" ht="15.6" x14ac:dyDescent="0.3">
      <c r="A40" s="260">
        <v>19120</v>
      </c>
      <c r="B40" s="261" t="s">
        <v>812</v>
      </c>
      <c r="C40" s="212">
        <v>279825440</v>
      </c>
      <c r="D40" s="212">
        <v>321741672</v>
      </c>
      <c r="E40" s="212">
        <v>381865942</v>
      </c>
      <c r="F40" s="212">
        <v>76076332</v>
      </c>
      <c r="G40" s="212">
        <v>0</v>
      </c>
    </row>
    <row r="41" spans="1:7" ht="15.6" x14ac:dyDescent="0.3">
      <c r="A41" s="260">
        <v>20100</v>
      </c>
      <c r="B41" s="261" t="s">
        <v>524</v>
      </c>
      <c r="C41" s="213">
        <v>1955780</v>
      </c>
      <c r="D41" s="213">
        <v>12111713</v>
      </c>
      <c r="E41" s="213">
        <v>27329867</v>
      </c>
      <c r="F41" s="213">
        <v>19264347</v>
      </c>
      <c r="G41" s="213">
        <v>0</v>
      </c>
    </row>
    <row r="42" spans="1:7" ht="15.6" x14ac:dyDescent="0.3">
      <c r="A42" s="260">
        <v>20200</v>
      </c>
      <c r="B42" s="261" t="s">
        <v>525</v>
      </c>
      <c r="C42" s="212">
        <v>-641892</v>
      </c>
      <c r="D42" s="212">
        <v>784235</v>
      </c>
      <c r="E42" s="212">
        <v>3118617</v>
      </c>
      <c r="F42" s="212">
        <v>2325026</v>
      </c>
      <c r="G42" s="212">
        <v>0</v>
      </c>
    </row>
    <row r="43" spans="1:7" ht="15.6" x14ac:dyDescent="0.3">
      <c r="A43" s="260">
        <v>20300</v>
      </c>
      <c r="B43" s="261" t="s">
        <v>526</v>
      </c>
      <c r="C43" s="213">
        <v>-18671411</v>
      </c>
      <c r="D43" s="213">
        <v>2562809</v>
      </c>
      <c r="E43" s="213">
        <v>44118183</v>
      </c>
      <c r="F43" s="213">
        <v>35309926</v>
      </c>
      <c r="G43" s="213">
        <v>0</v>
      </c>
    </row>
    <row r="44" spans="1:7" ht="15.6" x14ac:dyDescent="0.3">
      <c r="A44" s="260">
        <v>20400</v>
      </c>
      <c r="B44" s="261" t="s">
        <v>527</v>
      </c>
      <c r="C44" s="212">
        <v>705652</v>
      </c>
      <c r="D44" s="212">
        <v>1677303</v>
      </c>
      <c r="E44" s="212">
        <v>3174765</v>
      </c>
      <c r="F44" s="212">
        <v>2251634</v>
      </c>
      <c r="G44" s="212">
        <v>0</v>
      </c>
    </row>
    <row r="45" spans="1:7" ht="15.6" x14ac:dyDescent="0.3">
      <c r="A45" s="260">
        <v>20600</v>
      </c>
      <c r="B45" s="261" t="s">
        <v>528</v>
      </c>
      <c r="C45" s="213">
        <v>-1974962</v>
      </c>
      <c r="D45" s="213">
        <v>1923837</v>
      </c>
      <c r="E45" s="213">
        <v>6504994</v>
      </c>
      <c r="F45" s="213">
        <v>5009988</v>
      </c>
      <c r="G45" s="213">
        <v>0</v>
      </c>
    </row>
    <row r="46" spans="1:7" ht="15.6" x14ac:dyDescent="0.3">
      <c r="A46" s="260">
        <v>20700</v>
      </c>
      <c r="B46" s="261" t="s">
        <v>529</v>
      </c>
      <c r="C46" s="212">
        <v>-1643275</v>
      </c>
      <c r="D46" s="212">
        <v>3145449</v>
      </c>
      <c r="E46" s="212">
        <v>10910950</v>
      </c>
      <c r="F46" s="212">
        <v>9051598</v>
      </c>
      <c r="G46" s="212">
        <v>0</v>
      </c>
    </row>
    <row r="47" spans="1:7" ht="15.6" x14ac:dyDescent="0.3">
      <c r="A47" s="260">
        <v>20800</v>
      </c>
      <c r="B47" s="261" t="s">
        <v>530</v>
      </c>
      <c r="C47" s="213">
        <v>-4290722</v>
      </c>
      <c r="D47" s="213">
        <v>-65531</v>
      </c>
      <c r="E47" s="213">
        <v>5541881</v>
      </c>
      <c r="F47" s="213">
        <v>5790435</v>
      </c>
      <c r="G47" s="213">
        <v>0</v>
      </c>
    </row>
    <row r="48" spans="1:7" ht="15.6" x14ac:dyDescent="0.3">
      <c r="A48" s="260">
        <v>20900</v>
      </c>
      <c r="B48" s="261" t="s">
        <v>531</v>
      </c>
      <c r="C48" s="212">
        <v>-6975185</v>
      </c>
      <c r="D48" s="212">
        <v>277673</v>
      </c>
      <c r="E48" s="212">
        <v>13707734</v>
      </c>
      <c r="F48" s="212">
        <v>11814824</v>
      </c>
      <c r="G48" s="212">
        <v>0</v>
      </c>
    </row>
    <row r="49" spans="1:7" ht="15.6" x14ac:dyDescent="0.3">
      <c r="A49" s="260">
        <v>21200</v>
      </c>
      <c r="B49" s="261" t="s">
        <v>532</v>
      </c>
      <c r="C49" s="213">
        <v>-1312388</v>
      </c>
      <c r="D49" s="213">
        <v>722594</v>
      </c>
      <c r="E49" s="213">
        <v>5670258</v>
      </c>
      <c r="F49" s="213">
        <v>3947975</v>
      </c>
      <c r="G49" s="213">
        <v>0</v>
      </c>
    </row>
    <row r="50" spans="1:7" ht="15.6" x14ac:dyDescent="0.3">
      <c r="A50" s="260">
        <v>21300</v>
      </c>
      <c r="B50" s="261" t="s">
        <v>533</v>
      </c>
      <c r="C50" s="212">
        <v>-10385126</v>
      </c>
      <c r="D50" s="212">
        <v>24060078</v>
      </c>
      <c r="E50" s="212">
        <v>87905275</v>
      </c>
      <c r="F50" s="212">
        <v>64851438</v>
      </c>
      <c r="G50" s="212">
        <v>0</v>
      </c>
    </row>
    <row r="51" spans="1:7" ht="16.2" customHeight="1" x14ac:dyDescent="0.3">
      <c r="A51" s="260">
        <v>21520</v>
      </c>
      <c r="B51" s="261" t="s">
        <v>47</v>
      </c>
      <c r="C51" s="213">
        <v>18375156</v>
      </c>
      <c r="D51" s="213">
        <v>83902165</v>
      </c>
      <c r="E51" s="213">
        <v>170036186</v>
      </c>
      <c r="F51" s="213">
        <v>127331266</v>
      </c>
      <c r="G51" s="213">
        <v>0</v>
      </c>
    </row>
    <row r="52" spans="1:7" ht="15.6" x14ac:dyDescent="0.3">
      <c r="A52" s="260">
        <v>21525</v>
      </c>
      <c r="B52" s="261" t="s">
        <v>534</v>
      </c>
      <c r="C52" s="212">
        <v>1591547</v>
      </c>
      <c r="D52" s="212">
        <v>3051330</v>
      </c>
      <c r="E52" s="212">
        <v>4079454</v>
      </c>
      <c r="F52" s="212">
        <v>3420897</v>
      </c>
      <c r="G52" s="212">
        <v>0</v>
      </c>
    </row>
    <row r="53" spans="1:7" ht="31.2" x14ac:dyDescent="0.3">
      <c r="A53" s="266">
        <v>21525.200000000001</v>
      </c>
      <c r="B53" s="261" t="s">
        <v>535</v>
      </c>
      <c r="C53" s="213">
        <v>523785</v>
      </c>
      <c r="D53" s="213">
        <v>581015</v>
      </c>
      <c r="E53" s="213">
        <v>602564</v>
      </c>
      <c r="F53" s="213">
        <v>358959</v>
      </c>
      <c r="G53" s="213">
        <v>0</v>
      </c>
    </row>
    <row r="54" spans="1:7" ht="15.6" x14ac:dyDescent="0.3">
      <c r="A54" s="260">
        <v>21550</v>
      </c>
      <c r="B54" s="261" t="s">
        <v>536</v>
      </c>
      <c r="C54" s="212">
        <v>-2953982</v>
      </c>
      <c r="D54" s="212">
        <v>26310744</v>
      </c>
      <c r="E54" s="212">
        <v>69064139</v>
      </c>
      <c r="F54" s="212">
        <v>60694589</v>
      </c>
      <c r="G54" s="212">
        <v>0</v>
      </c>
    </row>
    <row r="55" spans="1:7" ht="15.6" x14ac:dyDescent="0.3">
      <c r="A55" s="260">
        <v>21570</v>
      </c>
      <c r="B55" s="261" t="s">
        <v>537</v>
      </c>
      <c r="C55" s="213">
        <v>-55413</v>
      </c>
      <c r="D55" s="213">
        <v>78439</v>
      </c>
      <c r="E55" s="213">
        <v>217227</v>
      </c>
      <c r="F55" s="213">
        <v>229776</v>
      </c>
      <c r="G55" s="213">
        <v>0</v>
      </c>
    </row>
    <row r="56" spans="1:7" ht="15.6" x14ac:dyDescent="0.3">
      <c r="A56" s="260">
        <v>21800</v>
      </c>
      <c r="B56" s="261" t="s">
        <v>538</v>
      </c>
      <c r="C56" s="212">
        <v>-2511521</v>
      </c>
      <c r="D56" s="212">
        <v>2551982</v>
      </c>
      <c r="E56" s="212">
        <v>10579595</v>
      </c>
      <c r="F56" s="212">
        <v>8526386</v>
      </c>
      <c r="G56" s="212">
        <v>0</v>
      </c>
    </row>
    <row r="57" spans="1:7" ht="15.6" x14ac:dyDescent="0.3">
      <c r="A57" s="260">
        <v>21900</v>
      </c>
      <c r="B57" s="261" t="s">
        <v>539</v>
      </c>
      <c r="C57" s="213">
        <v>-3737028</v>
      </c>
      <c r="D57" s="213">
        <v>-175110</v>
      </c>
      <c r="E57" s="213">
        <v>4743724</v>
      </c>
      <c r="F57" s="213">
        <v>3822671</v>
      </c>
      <c r="G57" s="213">
        <v>0</v>
      </c>
    </row>
    <row r="58" spans="1:7" ht="15.6" x14ac:dyDescent="0.3">
      <c r="A58" s="260">
        <v>22000</v>
      </c>
      <c r="B58" s="261" t="s">
        <v>540</v>
      </c>
      <c r="C58" s="212">
        <v>5830694</v>
      </c>
      <c r="D58" s="212">
        <v>9240929</v>
      </c>
      <c r="E58" s="212">
        <v>10468931</v>
      </c>
      <c r="F58" s="212">
        <v>6985982</v>
      </c>
      <c r="G58" s="212">
        <v>0</v>
      </c>
    </row>
    <row r="59" spans="1:7" ht="15.6" x14ac:dyDescent="0.3">
      <c r="A59" s="260">
        <v>23000</v>
      </c>
      <c r="B59" s="261" t="s">
        <v>541</v>
      </c>
      <c r="C59" s="213">
        <v>-2165215</v>
      </c>
      <c r="D59" s="213">
        <v>425958</v>
      </c>
      <c r="E59" s="213">
        <v>4608218</v>
      </c>
      <c r="F59" s="213">
        <v>3794522</v>
      </c>
      <c r="G59" s="213">
        <v>0</v>
      </c>
    </row>
    <row r="60" spans="1:7" ht="15.6" x14ac:dyDescent="0.3">
      <c r="A60" s="260">
        <v>23100</v>
      </c>
      <c r="B60" s="261" t="s">
        <v>542</v>
      </c>
      <c r="C60" s="212">
        <v>-4361585</v>
      </c>
      <c r="D60" s="212">
        <v>9315535</v>
      </c>
      <c r="E60" s="212">
        <v>33150365</v>
      </c>
      <c r="F60" s="212">
        <v>26244739</v>
      </c>
      <c r="G60" s="212">
        <v>0</v>
      </c>
    </row>
    <row r="61" spans="1:7" ht="15.6" x14ac:dyDescent="0.3">
      <c r="A61" s="260">
        <v>23200</v>
      </c>
      <c r="B61" s="261" t="s">
        <v>543</v>
      </c>
      <c r="C61" s="213">
        <v>2183734</v>
      </c>
      <c r="D61" s="213">
        <v>10338072</v>
      </c>
      <c r="E61" s="213">
        <v>20238592</v>
      </c>
      <c r="F61" s="213">
        <v>14697134</v>
      </c>
      <c r="G61" s="213">
        <v>0</v>
      </c>
    </row>
    <row r="62" spans="1:7" ht="15.6" x14ac:dyDescent="0.3">
      <c r="A62" s="260">
        <v>30000</v>
      </c>
      <c r="B62" s="261" t="s">
        <v>544</v>
      </c>
      <c r="C62" s="212">
        <v>-120088</v>
      </c>
      <c r="D62" s="212">
        <v>781116</v>
      </c>
      <c r="E62" s="212">
        <v>2134835</v>
      </c>
      <c r="F62" s="212">
        <v>1451042</v>
      </c>
      <c r="G62" s="212">
        <v>0</v>
      </c>
    </row>
    <row r="63" spans="1:7" ht="15.6" x14ac:dyDescent="0.3">
      <c r="A63" s="260">
        <v>30100</v>
      </c>
      <c r="B63" s="261" t="s">
        <v>545</v>
      </c>
      <c r="C63" s="213">
        <v>-1765005</v>
      </c>
      <c r="D63" s="213">
        <v>4936457</v>
      </c>
      <c r="E63" s="213">
        <v>12035352</v>
      </c>
      <c r="F63" s="213">
        <v>10350550</v>
      </c>
      <c r="G63" s="213">
        <v>0</v>
      </c>
    </row>
    <row r="64" spans="1:7" ht="15.6" x14ac:dyDescent="0.3">
      <c r="A64" s="260">
        <v>30102</v>
      </c>
      <c r="B64" s="261" t="s">
        <v>546</v>
      </c>
      <c r="C64" s="212">
        <v>518334</v>
      </c>
      <c r="D64" s="212">
        <v>726622</v>
      </c>
      <c r="E64" s="212">
        <v>957869</v>
      </c>
      <c r="F64" s="212">
        <v>674158</v>
      </c>
      <c r="G64" s="212">
        <v>0</v>
      </c>
    </row>
    <row r="65" spans="1:7" ht="15.6" x14ac:dyDescent="0.3">
      <c r="A65" s="260">
        <v>30103</v>
      </c>
      <c r="B65" s="261" t="s">
        <v>547</v>
      </c>
      <c r="C65" s="213">
        <v>143890</v>
      </c>
      <c r="D65" s="213">
        <v>189785</v>
      </c>
      <c r="E65" s="213">
        <v>549264</v>
      </c>
      <c r="F65" s="213">
        <v>368230</v>
      </c>
      <c r="G65" s="213">
        <v>0</v>
      </c>
    </row>
    <row r="66" spans="1:7" ht="15.6" x14ac:dyDescent="0.3">
      <c r="A66" s="260">
        <v>30104</v>
      </c>
      <c r="B66" s="261" t="s">
        <v>548</v>
      </c>
      <c r="C66" s="212">
        <v>208296</v>
      </c>
      <c r="D66" s="212">
        <v>421977</v>
      </c>
      <c r="E66" s="212">
        <v>352053</v>
      </c>
      <c r="F66" s="212">
        <v>280853</v>
      </c>
      <c r="G66" s="212">
        <v>0</v>
      </c>
    </row>
    <row r="67" spans="1:7" ht="15.6" x14ac:dyDescent="0.3">
      <c r="A67" s="260">
        <v>30105</v>
      </c>
      <c r="B67" s="261" t="s">
        <v>549</v>
      </c>
      <c r="C67" s="213">
        <v>-288891</v>
      </c>
      <c r="D67" s="213">
        <v>814603</v>
      </c>
      <c r="E67" s="213">
        <v>1679534</v>
      </c>
      <c r="F67" s="213">
        <v>1397838</v>
      </c>
      <c r="G67" s="213">
        <v>0</v>
      </c>
    </row>
    <row r="68" spans="1:7" ht="15.6" x14ac:dyDescent="0.3">
      <c r="A68" s="260">
        <v>30200</v>
      </c>
      <c r="B68" s="261" t="s">
        <v>550</v>
      </c>
      <c r="C68" s="212">
        <v>-61387</v>
      </c>
      <c r="D68" s="212">
        <v>1752397</v>
      </c>
      <c r="E68" s="212">
        <v>3624464</v>
      </c>
      <c r="F68" s="212">
        <v>3103609</v>
      </c>
      <c r="G68" s="212">
        <v>0</v>
      </c>
    </row>
    <row r="69" spans="1:7" ht="15.6" x14ac:dyDescent="0.3">
      <c r="A69" s="260">
        <v>30300</v>
      </c>
      <c r="B69" s="261" t="s">
        <v>551</v>
      </c>
      <c r="C69" s="213">
        <v>-86490</v>
      </c>
      <c r="D69" s="213">
        <v>482865</v>
      </c>
      <c r="E69" s="213">
        <v>1262005</v>
      </c>
      <c r="F69" s="213">
        <v>747126</v>
      </c>
      <c r="G69" s="213">
        <v>0</v>
      </c>
    </row>
    <row r="70" spans="1:7" ht="15.6" x14ac:dyDescent="0.3">
      <c r="A70" s="260">
        <v>30400</v>
      </c>
      <c r="B70" s="261" t="s">
        <v>552</v>
      </c>
      <c r="C70" s="212">
        <v>411749</v>
      </c>
      <c r="D70" s="212">
        <v>1354659</v>
      </c>
      <c r="E70" s="212">
        <v>2898271</v>
      </c>
      <c r="F70" s="212">
        <v>1979965</v>
      </c>
      <c r="G70" s="212">
        <v>0</v>
      </c>
    </row>
    <row r="71" spans="1:7" ht="15.6" x14ac:dyDescent="0.3">
      <c r="A71" s="260">
        <v>30405</v>
      </c>
      <c r="B71" s="261" t="s">
        <v>553</v>
      </c>
      <c r="C71" s="213">
        <v>-75568</v>
      </c>
      <c r="D71" s="213">
        <v>571081</v>
      </c>
      <c r="E71" s="213">
        <v>1198876</v>
      </c>
      <c r="F71" s="213">
        <v>976238</v>
      </c>
      <c r="G71" s="213">
        <v>0</v>
      </c>
    </row>
    <row r="72" spans="1:7" ht="15.6" x14ac:dyDescent="0.3">
      <c r="A72" s="260">
        <v>30500</v>
      </c>
      <c r="B72" s="261" t="s">
        <v>554</v>
      </c>
      <c r="C72" s="212">
        <v>-303996</v>
      </c>
      <c r="D72" s="212">
        <v>841720</v>
      </c>
      <c r="E72" s="212">
        <v>2763566</v>
      </c>
      <c r="F72" s="212">
        <v>1727680</v>
      </c>
      <c r="G72" s="212">
        <v>0</v>
      </c>
    </row>
    <row r="73" spans="1:7" ht="15.6" x14ac:dyDescent="0.3">
      <c r="A73" s="260">
        <v>30600</v>
      </c>
      <c r="B73" s="261" t="s">
        <v>555</v>
      </c>
      <c r="C73" s="213">
        <v>-119</v>
      </c>
      <c r="D73" s="213">
        <v>935203</v>
      </c>
      <c r="E73" s="213">
        <v>1884601</v>
      </c>
      <c r="F73" s="213">
        <v>1281500</v>
      </c>
      <c r="G73" s="213">
        <v>0</v>
      </c>
    </row>
    <row r="74" spans="1:7" ht="15.6" x14ac:dyDescent="0.3">
      <c r="A74" s="260">
        <v>30601</v>
      </c>
      <c r="B74" s="261" t="s">
        <v>556</v>
      </c>
      <c r="C74" s="212">
        <v>-43359</v>
      </c>
      <c r="D74" s="212">
        <v>-101885</v>
      </c>
      <c r="E74" s="212">
        <v>0</v>
      </c>
      <c r="F74" s="212">
        <v>0</v>
      </c>
      <c r="G74" s="212">
        <v>0</v>
      </c>
    </row>
    <row r="75" spans="1:7" ht="15.6" x14ac:dyDescent="0.3">
      <c r="A75" s="260">
        <v>30700</v>
      </c>
      <c r="B75" s="261" t="s">
        <v>557</v>
      </c>
      <c r="C75" s="213">
        <v>-494921</v>
      </c>
      <c r="D75" s="213">
        <v>1654182</v>
      </c>
      <c r="E75" s="213">
        <v>3024042</v>
      </c>
      <c r="F75" s="213">
        <v>2721328</v>
      </c>
      <c r="G75" s="213">
        <v>0</v>
      </c>
    </row>
    <row r="76" spans="1:7" ht="15.6" x14ac:dyDescent="0.3">
      <c r="A76" s="260">
        <v>30705</v>
      </c>
      <c r="B76" s="261" t="s">
        <v>558</v>
      </c>
      <c r="C76" s="212">
        <v>128940</v>
      </c>
      <c r="D76" s="212">
        <v>577797</v>
      </c>
      <c r="E76" s="212">
        <v>1099837</v>
      </c>
      <c r="F76" s="212">
        <v>784773</v>
      </c>
      <c r="G76" s="212">
        <v>0</v>
      </c>
    </row>
    <row r="77" spans="1:7" ht="15.6" x14ac:dyDescent="0.3">
      <c r="A77" s="260">
        <v>30800</v>
      </c>
      <c r="B77" s="261" t="s">
        <v>559</v>
      </c>
      <c r="C77" s="213">
        <v>-834548</v>
      </c>
      <c r="D77" s="213">
        <v>7524</v>
      </c>
      <c r="E77" s="213">
        <v>1142822</v>
      </c>
      <c r="F77" s="213">
        <v>871955</v>
      </c>
      <c r="G77" s="213">
        <v>0</v>
      </c>
    </row>
    <row r="78" spans="1:7" ht="15.6" x14ac:dyDescent="0.3">
      <c r="A78" s="260">
        <v>30900</v>
      </c>
      <c r="B78" s="261" t="s">
        <v>560</v>
      </c>
      <c r="C78" s="212">
        <v>789138</v>
      </c>
      <c r="D78" s="212">
        <v>2274988</v>
      </c>
      <c r="E78" s="212">
        <v>4548106</v>
      </c>
      <c r="F78" s="212">
        <v>2280650</v>
      </c>
      <c r="G78" s="212">
        <v>0</v>
      </c>
    </row>
    <row r="79" spans="1:7" ht="15.6" x14ac:dyDescent="0.3">
      <c r="A79" s="260">
        <v>30905</v>
      </c>
      <c r="B79" s="261" t="s">
        <v>561</v>
      </c>
      <c r="C79" s="213">
        <v>-140167</v>
      </c>
      <c r="D79" s="213">
        <v>85930</v>
      </c>
      <c r="E79" s="213">
        <v>522922</v>
      </c>
      <c r="F79" s="213">
        <v>464395</v>
      </c>
      <c r="G79" s="213">
        <v>0</v>
      </c>
    </row>
    <row r="80" spans="1:7" ht="15.6" x14ac:dyDescent="0.3">
      <c r="A80" s="260">
        <v>31000</v>
      </c>
      <c r="B80" s="261" t="s">
        <v>562</v>
      </c>
      <c r="C80" s="212">
        <v>90935</v>
      </c>
      <c r="D80" s="212">
        <v>4212763</v>
      </c>
      <c r="E80" s="212">
        <v>9479661</v>
      </c>
      <c r="F80" s="212">
        <v>7233382</v>
      </c>
      <c r="G80" s="212">
        <v>0</v>
      </c>
    </row>
    <row r="81" spans="1:7" ht="15.6" x14ac:dyDescent="0.3">
      <c r="A81" s="260">
        <v>31005</v>
      </c>
      <c r="B81" s="261" t="s">
        <v>563</v>
      </c>
      <c r="C81" s="213">
        <v>114004</v>
      </c>
      <c r="D81" s="213">
        <v>583321</v>
      </c>
      <c r="E81" s="213">
        <v>931034</v>
      </c>
      <c r="F81" s="213">
        <v>660019</v>
      </c>
      <c r="G81" s="213">
        <v>0</v>
      </c>
    </row>
    <row r="82" spans="1:7" ht="15.6" x14ac:dyDescent="0.3">
      <c r="A82" s="260">
        <v>31100</v>
      </c>
      <c r="B82" s="261" t="s">
        <v>564</v>
      </c>
      <c r="C82" s="212">
        <v>-3504074</v>
      </c>
      <c r="D82" s="212">
        <v>5276708</v>
      </c>
      <c r="E82" s="212">
        <v>19076388</v>
      </c>
      <c r="F82" s="212">
        <v>13306944</v>
      </c>
      <c r="G82" s="212">
        <v>0</v>
      </c>
    </row>
    <row r="83" spans="1:7" ht="15.6" x14ac:dyDescent="0.3">
      <c r="A83" s="260">
        <v>31101</v>
      </c>
      <c r="B83" s="261" t="s">
        <v>565</v>
      </c>
      <c r="C83" s="213">
        <v>49768</v>
      </c>
      <c r="D83" s="213">
        <v>120594</v>
      </c>
      <c r="E83" s="213">
        <v>164307</v>
      </c>
      <c r="F83" s="213">
        <v>91353</v>
      </c>
      <c r="G83" s="213">
        <v>0</v>
      </c>
    </row>
    <row r="84" spans="1:7" ht="15.6" x14ac:dyDescent="0.3">
      <c r="A84" s="260">
        <v>31102</v>
      </c>
      <c r="B84" s="261" t="s">
        <v>566</v>
      </c>
      <c r="C84" s="212">
        <v>-105688</v>
      </c>
      <c r="D84" s="212">
        <v>127821</v>
      </c>
      <c r="E84" s="212">
        <v>390099</v>
      </c>
      <c r="F84" s="212">
        <v>286089</v>
      </c>
      <c r="G84" s="212">
        <v>0</v>
      </c>
    </row>
    <row r="85" spans="1:7" ht="15.6" x14ac:dyDescent="0.3">
      <c r="A85" s="260">
        <v>31105</v>
      </c>
      <c r="B85" s="261" t="s">
        <v>567</v>
      </c>
      <c r="C85" s="213">
        <v>-692683</v>
      </c>
      <c r="D85" s="213">
        <v>936057</v>
      </c>
      <c r="E85" s="213">
        <v>2653695</v>
      </c>
      <c r="F85" s="213">
        <v>2058731</v>
      </c>
      <c r="G85" s="213">
        <v>0</v>
      </c>
    </row>
    <row r="86" spans="1:7" ht="15.6" x14ac:dyDescent="0.3">
      <c r="A86" s="260">
        <v>31110</v>
      </c>
      <c r="B86" s="261" t="s">
        <v>568</v>
      </c>
      <c r="C86" s="212">
        <v>-1943992</v>
      </c>
      <c r="D86" s="212">
        <v>-45817</v>
      </c>
      <c r="E86" s="212">
        <v>3285711</v>
      </c>
      <c r="F86" s="212">
        <v>2621893</v>
      </c>
      <c r="G86" s="212">
        <v>0</v>
      </c>
    </row>
    <row r="87" spans="1:7" ht="15.6" x14ac:dyDescent="0.3">
      <c r="A87" s="260">
        <v>31200</v>
      </c>
      <c r="B87" s="261" t="s">
        <v>569</v>
      </c>
      <c r="C87" s="213">
        <v>-223809</v>
      </c>
      <c r="D87" s="213">
        <v>3272796</v>
      </c>
      <c r="E87" s="213">
        <v>8523227</v>
      </c>
      <c r="F87" s="213">
        <v>6274236</v>
      </c>
      <c r="G87" s="213">
        <v>0</v>
      </c>
    </row>
    <row r="88" spans="1:7" ht="15.6" x14ac:dyDescent="0.3">
      <c r="A88" s="260">
        <v>31205</v>
      </c>
      <c r="B88" s="261" t="s">
        <v>570</v>
      </c>
      <c r="C88" s="212">
        <v>-165094</v>
      </c>
      <c r="D88" s="212">
        <v>393362</v>
      </c>
      <c r="E88" s="212">
        <v>832488</v>
      </c>
      <c r="F88" s="212">
        <v>618334</v>
      </c>
      <c r="G88" s="212">
        <v>0</v>
      </c>
    </row>
    <row r="89" spans="1:7" ht="15.6" x14ac:dyDescent="0.3">
      <c r="A89" s="260">
        <v>31300</v>
      </c>
      <c r="B89" s="261" t="s">
        <v>571</v>
      </c>
      <c r="C89" s="213">
        <v>113858</v>
      </c>
      <c r="D89" s="213">
        <v>9881651</v>
      </c>
      <c r="E89" s="213">
        <v>24953509</v>
      </c>
      <c r="F89" s="213">
        <v>18189413</v>
      </c>
      <c r="G89" s="213">
        <v>0</v>
      </c>
    </row>
    <row r="90" spans="1:7" ht="15.6" x14ac:dyDescent="0.3">
      <c r="A90" s="260">
        <v>31301</v>
      </c>
      <c r="B90" s="261" t="s">
        <v>572</v>
      </c>
      <c r="C90" s="212">
        <v>-593366</v>
      </c>
      <c r="D90" s="212">
        <v>-410317</v>
      </c>
      <c r="E90" s="212">
        <v>-65245</v>
      </c>
      <c r="F90" s="212">
        <v>110425</v>
      </c>
      <c r="G90" s="212">
        <v>0</v>
      </c>
    </row>
    <row r="91" spans="1:7" ht="15.6" x14ac:dyDescent="0.3">
      <c r="A91" s="260">
        <v>31320</v>
      </c>
      <c r="B91" s="261" t="s">
        <v>573</v>
      </c>
      <c r="C91" s="213">
        <v>-1010559</v>
      </c>
      <c r="D91" s="213">
        <v>1060967</v>
      </c>
      <c r="E91" s="213">
        <v>3837449</v>
      </c>
      <c r="F91" s="213">
        <v>2575063</v>
      </c>
      <c r="G91" s="213">
        <v>0</v>
      </c>
    </row>
    <row r="92" spans="1:7" ht="15.6" x14ac:dyDescent="0.3">
      <c r="A92" s="260">
        <v>31400</v>
      </c>
      <c r="B92" s="261" t="s">
        <v>574</v>
      </c>
      <c r="C92" s="212">
        <v>-1699230</v>
      </c>
      <c r="D92" s="212">
        <v>2989435</v>
      </c>
      <c r="E92" s="212">
        <v>8165883</v>
      </c>
      <c r="F92" s="212">
        <v>6409507</v>
      </c>
      <c r="G92" s="212">
        <v>0</v>
      </c>
    </row>
    <row r="93" spans="1:7" ht="15.6" x14ac:dyDescent="0.3">
      <c r="A93" s="260">
        <v>31405</v>
      </c>
      <c r="B93" s="261" t="s">
        <v>575</v>
      </c>
      <c r="C93" s="213">
        <v>305596</v>
      </c>
      <c r="D93" s="213">
        <v>1330364</v>
      </c>
      <c r="E93" s="213">
        <v>2097465</v>
      </c>
      <c r="F93" s="213">
        <v>1582896</v>
      </c>
      <c r="G93" s="213">
        <v>0</v>
      </c>
    </row>
    <row r="94" spans="1:7" ht="15.6" x14ac:dyDescent="0.3">
      <c r="A94" s="260">
        <v>31500</v>
      </c>
      <c r="B94" s="261" t="s">
        <v>576</v>
      </c>
      <c r="C94" s="212">
        <v>624901</v>
      </c>
      <c r="D94" s="212">
        <v>1489565</v>
      </c>
      <c r="E94" s="212">
        <v>1872550</v>
      </c>
      <c r="F94" s="212">
        <v>1321791</v>
      </c>
      <c r="G94" s="212">
        <v>0</v>
      </c>
    </row>
    <row r="95" spans="1:7" ht="15.6" x14ac:dyDescent="0.3">
      <c r="A95" s="260">
        <v>31600</v>
      </c>
      <c r="B95" s="261" t="s">
        <v>577</v>
      </c>
      <c r="C95" s="213">
        <v>65461</v>
      </c>
      <c r="D95" s="213">
        <v>2878833</v>
      </c>
      <c r="E95" s="213">
        <v>5654780</v>
      </c>
      <c r="F95" s="213">
        <v>4690755</v>
      </c>
      <c r="G95" s="213">
        <v>0</v>
      </c>
    </row>
    <row r="96" spans="1:7" ht="15.6" x14ac:dyDescent="0.3">
      <c r="A96" s="260">
        <v>31605</v>
      </c>
      <c r="B96" s="261" t="s">
        <v>578</v>
      </c>
      <c r="C96" s="212">
        <v>207110</v>
      </c>
      <c r="D96" s="212">
        <v>540937</v>
      </c>
      <c r="E96" s="212">
        <v>1014278</v>
      </c>
      <c r="F96" s="212">
        <v>759513</v>
      </c>
      <c r="G96" s="212">
        <v>0</v>
      </c>
    </row>
    <row r="97" spans="1:7" ht="15.6" x14ac:dyDescent="0.3">
      <c r="A97" s="260">
        <v>31700</v>
      </c>
      <c r="B97" s="261" t="s">
        <v>579</v>
      </c>
      <c r="C97" s="213">
        <v>-1063621</v>
      </c>
      <c r="D97" s="213">
        <v>-97198</v>
      </c>
      <c r="E97" s="213">
        <v>1209544</v>
      </c>
      <c r="F97" s="213">
        <v>646994</v>
      </c>
      <c r="G97" s="213">
        <v>0</v>
      </c>
    </row>
    <row r="98" spans="1:7" ht="15.6" x14ac:dyDescent="0.3">
      <c r="A98" s="260">
        <v>31800</v>
      </c>
      <c r="B98" s="261" t="s">
        <v>580</v>
      </c>
      <c r="C98" s="212">
        <v>1732562</v>
      </c>
      <c r="D98" s="212">
        <v>6498510</v>
      </c>
      <c r="E98" s="212">
        <v>12092160</v>
      </c>
      <c r="F98" s="212">
        <v>8944252</v>
      </c>
      <c r="G98" s="212">
        <v>0</v>
      </c>
    </row>
    <row r="99" spans="1:7" ht="15.6" x14ac:dyDescent="0.3">
      <c r="A99" s="260">
        <v>31805</v>
      </c>
      <c r="B99" s="261" t="s">
        <v>581</v>
      </c>
      <c r="C99" s="213">
        <v>8580</v>
      </c>
      <c r="D99" s="213">
        <v>962971</v>
      </c>
      <c r="E99" s="213">
        <v>1576292</v>
      </c>
      <c r="F99" s="213">
        <v>934535</v>
      </c>
      <c r="G99" s="213">
        <v>0</v>
      </c>
    </row>
    <row r="100" spans="1:7" ht="15.6" x14ac:dyDescent="0.3">
      <c r="A100" s="260">
        <v>31810</v>
      </c>
      <c r="B100" s="261" t="s">
        <v>582</v>
      </c>
      <c r="C100" s="212">
        <v>-987675</v>
      </c>
      <c r="D100" s="212">
        <v>322079</v>
      </c>
      <c r="E100" s="212">
        <v>1876661</v>
      </c>
      <c r="F100" s="212">
        <v>1705338</v>
      </c>
      <c r="G100" s="212">
        <v>0</v>
      </c>
    </row>
    <row r="101" spans="1:7" ht="15.6" x14ac:dyDescent="0.3">
      <c r="A101" s="260">
        <v>31820</v>
      </c>
      <c r="B101" s="261" t="s">
        <v>583</v>
      </c>
      <c r="C101" s="213">
        <v>-1049479</v>
      </c>
      <c r="D101" s="213">
        <v>114664</v>
      </c>
      <c r="E101" s="213">
        <v>1663636</v>
      </c>
      <c r="F101" s="213">
        <v>1388842</v>
      </c>
      <c r="G101" s="213">
        <v>0</v>
      </c>
    </row>
    <row r="102" spans="1:7" ht="15.6" x14ac:dyDescent="0.3">
      <c r="A102" s="260">
        <v>31900</v>
      </c>
      <c r="B102" s="261" t="s">
        <v>584</v>
      </c>
      <c r="C102" s="212">
        <v>-832799</v>
      </c>
      <c r="D102" s="212">
        <v>1649895</v>
      </c>
      <c r="E102" s="212">
        <v>6094487</v>
      </c>
      <c r="F102" s="212">
        <v>4619182</v>
      </c>
      <c r="G102" s="212">
        <v>0</v>
      </c>
    </row>
    <row r="103" spans="1:7" ht="15.6" x14ac:dyDescent="0.3">
      <c r="A103" s="260">
        <v>32000</v>
      </c>
      <c r="B103" s="261" t="s">
        <v>585</v>
      </c>
      <c r="C103" s="213">
        <v>-974038</v>
      </c>
      <c r="D103" s="213">
        <v>148027</v>
      </c>
      <c r="E103" s="213">
        <v>2089003</v>
      </c>
      <c r="F103" s="213">
        <v>1550612</v>
      </c>
      <c r="G103" s="213">
        <v>0</v>
      </c>
    </row>
    <row r="104" spans="1:7" ht="15.6" x14ac:dyDescent="0.3">
      <c r="A104" s="260">
        <v>32005</v>
      </c>
      <c r="B104" s="261" t="s">
        <v>586</v>
      </c>
      <c r="C104" s="212">
        <v>395944</v>
      </c>
      <c r="D104" s="212">
        <v>689691</v>
      </c>
      <c r="E104" s="212">
        <v>746393</v>
      </c>
      <c r="F104" s="212">
        <v>623161</v>
      </c>
      <c r="G104" s="212">
        <v>0</v>
      </c>
    </row>
    <row r="105" spans="1:7" ht="15.6" x14ac:dyDescent="0.3">
      <c r="A105" s="260">
        <v>32100</v>
      </c>
      <c r="B105" s="261" t="s">
        <v>587</v>
      </c>
      <c r="C105" s="213">
        <v>-445443</v>
      </c>
      <c r="D105" s="213">
        <v>175848</v>
      </c>
      <c r="E105" s="213">
        <v>1249874</v>
      </c>
      <c r="F105" s="213">
        <v>603695</v>
      </c>
      <c r="G105" s="213">
        <v>0</v>
      </c>
    </row>
    <row r="106" spans="1:7" ht="15.6" x14ac:dyDescent="0.3">
      <c r="A106" s="260">
        <v>32200</v>
      </c>
      <c r="B106" s="261" t="s">
        <v>588</v>
      </c>
      <c r="C106" s="212">
        <v>209540</v>
      </c>
      <c r="D106" s="212">
        <v>721168</v>
      </c>
      <c r="E106" s="212">
        <v>1341361</v>
      </c>
      <c r="F106" s="212">
        <v>884225</v>
      </c>
      <c r="G106" s="212">
        <v>0</v>
      </c>
    </row>
    <row r="107" spans="1:7" ht="15.6" x14ac:dyDescent="0.3">
      <c r="A107" s="260">
        <v>32300</v>
      </c>
      <c r="B107" s="261" t="s">
        <v>589</v>
      </c>
      <c r="C107" s="213">
        <v>-668473</v>
      </c>
      <c r="D107" s="213">
        <v>4991571</v>
      </c>
      <c r="E107" s="213">
        <v>10907642</v>
      </c>
      <c r="F107" s="213">
        <v>8183603</v>
      </c>
      <c r="G107" s="213">
        <v>0</v>
      </c>
    </row>
    <row r="108" spans="1:7" ht="15.6" x14ac:dyDescent="0.3">
      <c r="A108" s="260">
        <v>32305</v>
      </c>
      <c r="B108" s="261" t="s">
        <v>590</v>
      </c>
      <c r="C108" s="212">
        <v>400407</v>
      </c>
      <c r="D108" s="212">
        <v>1171394</v>
      </c>
      <c r="E108" s="212">
        <v>1833687</v>
      </c>
      <c r="F108" s="212">
        <v>1117564</v>
      </c>
      <c r="G108" s="212">
        <v>0</v>
      </c>
    </row>
    <row r="109" spans="1:7" ht="15.6" x14ac:dyDescent="0.3">
      <c r="A109" s="260">
        <v>32400</v>
      </c>
      <c r="B109" s="261" t="s">
        <v>591</v>
      </c>
      <c r="C109" s="213">
        <v>-117611</v>
      </c>
      <c r="D109" s="213">
        <v>1816161</v>
      </c>
      <c r="E109" s="213">
        <v>4304812</v>
      </c>
      <c r="F109" s="213">
        <v>3157625</v>
      </c>
      <c r="G109" s="213">
        <v>0</v>
      </c>
    </row>
    <row r="110" spans="1:7" ht="15.6" x14ac:dyDescent="0.3">
      <c r="A110" s="260">
        <v>32405</v>
      </c>
      <c r="B110" s="261" t="s">
        <v>592</v>
      </c>
      <c r="C110" s="212">
        <v>-435003</v>
      </c>
      <c r="D110" s="212">
        <v>177999</v>
      </c>
      <c r="E110" s="212">
        <v>1000475</v>
      </c>
      <c r="F110" s="212">
        <v>746108</v>
      </c>
      <c r="G110" s="212">
        <v>0</v>
      </c>
    </row>
    <row r="111" spans="1:7" ht="15.6" x14ac:dyDescent="0.3">
      <c r="A111" s="260">
        <v>32410</v>
      </c>
      <c r="B111" s="261" t="s">
        <v>593</v>
      </c>
      <c r="C111" s="213">
        <v>344269</v>
      </c>
      <c r="D111" s="213">
        <v>1031578</v>
      </c>
      <c r="E111" s="213">
        <v>1571629</v>
      </c>
      <c r="F111" s="213">
        <v>1071643</v>
      </c>
      <c r="G111" s="213">
        <v>0</v>
      </c>
    </row>
    <row r="112" spans="1:7" ht="15.6" x14ac:dyDescent="0.3">
      <c r="A112" s="260">
        <v>32500</v>
      </c>
      <c r="B112" s="261" t="s">
        <v>594</v>
      </c>
      <c r="C112" s="212">
        <v>-3202102</v>
      </c>
      <c r="D112" s="212">
        <v>479544</v>
      </c>
      <c r="E112" s="212">
        <v>6644572</v>
      </c>
      <c r="F112" s="212">
        <v>5577593</v>
      </c>
      <c r="G112" s="212">
        <v>0</v>
      </c>
    </row>
    <row r="113" spans="1:7" ht="15.6" x14ac:dyDescent="0.3">
      <c r="A113" s="260">
        <v>32505</v>
      </c>
      <c r="B113" s="261" t="s">
        <v>595</v>
      </c>
      <c r="C113" s="213">
        <v>245894</v>
      </c>
      <c r="D113" s="213">
        <v>942980</v>
      </c>
      <c r="E113" s="213">
        <v>1545683</v>
      </c>
      <c r="F113" s="213">
        <v>1203126</v>
      </c>
      <c r="G113" s="213">
        <v>0</v>
      </c>
    </row>
    <row r="114" spans="1:7" ht="15.6" x14ac:dyDescent="0.3">
      <c r="A114" s="260">
        <v>32600</v>
      </c>
      <c r="B114" s="261" t="s">
        <v>596</v>
      </c>
      <c r="C114" s="212">
        <v>-10661812</v>
      </c>
      <c r="D114" s="212">
        <v>7137572</v>
      </c>
      <c r="E114" s="212">
        <v>18218444</v>
      </c>
      <c r="F114" s="212">
        <v>18554746</v>
      </c>
      <c r="G114" s="212">
        <v>0</v>
      </c>
    </row>
    <row r="115" spans="1:7" ht="15.6" x14ac:dyDescent="0.3">
      <c r="A115" s="260">
        <v>32605</v>
      </c>
      <c r="B115" s="261" t="s">
        <v>597</v>
      </c>
      <c r="C115" s="213">
        <v>2442622</v>
      </c>
      <c r="D115" s="213">
        <v>4510422</v>
      </c>
      <c r="E115" s="213">
        <v>6909560</v>
      </c>
      <c r="F115" s="213">
        <v>4406656</v>
      </c>
      <c r="G115" s="213">
        <v>0</v>
      </c>
    </row>
    <row r="116" spans="1:7" ht="15.6" x14ac:dyDescent="0.3">
      <c r="A116" s="260">
        <v>32700</v>
      </c>
      <c r="B116" s="261" t="s">
        <v>598</v>
      </c>
      <c r="C116" s="212">
        <v>-32974</v>
      </c>
      <c r="D116" s="212">
        <v>1145726</v>
      </c>
      <c r="E116" s="212">
        <v>2614494</v>
      </c>
      <c r="F116" s="212">
        <v>2267006</v>
      </c>
      <c r="G116" s="212">
        <v>0</v>
      </c>
    </row>
    <row r="117" spans="1:7" ht="15.6" x14ac:dyDescent="0.3">
      <c r="A117" s="260">
        <v>32800</v>
      </c>
      <c r="B117" s="261" t="s">
        <v>599</v>
      </c>
      <c r="C117" s="213">
        <v>-698855</v>
      </c>
      <c r="D117" s="213">
        <v>826713</v>
      </c>
      <c r="E117" s="213">
        <v>3437766</v>
      </c>
      <c r="F117" s="213">
        <v>2958447</v>
      </c>
      <c r="G117" s="213">
        <v>0</v>
      </c>
    </row>
    <row r="118" spans="1:7" ht="15.6" x14ac:dyDescent="0.3">
      <c r="A118" s="260">
        <v>32900</v>
      </c>
      <c r="B118" s="261" t="s">
        <v>600</v>
      </c>
      <c r="C118" s="212">
        <v>-1398959</v>
      </c>
      <c r="D118" s="212">
        <v>4108678</v>
      </c>
      <c r="E118" s="212">
        <v>12128792</v>
      </c>
      <c r="F118" s="212">
        <v>9706322</v>
      </c>
      <c r="G118" s="212">
        <v>0</v>
      </c>
    </row>
    <row r="119" spans="1:7" ht="15.6" x14ac:dyDescent="0.3">
      <c r="A119" s="260">
        <v>32901</v>
      </c>
      <c r="B119" s="261" t="s">
        <v>601</v>
      </c>
      <c r="C119" s="213">
        <v>-678384</v>
      </c>
      <c r="D119" s="213">
        <v>-684085</v>
      </c>
      <c r="E119" s="213">
        <v>-592943</v>
      </c>
      <c r="F119" s="213">
        <v>-379089</v>
      </c>
      <c r="G119" s="213">
        <v>0</v>
      </c>
    </row>
    <row r="120" spans="1:7" ht="15.6" x14ac:dyDescent="0.3">
      <c r="A120" s="260">
        <v>32904</v>
      </c>
      <c r="B120" s="261" t="s">
        <v>602</v>
      </c>
      <c r="C120" s="212">
        <v>600093</v>
      </c>
      <c r="D120" s="212">
        <v>501958</v>
      </c>
      <c r="E120" s="212">
        <v>442531</v>
      </c>
      <c r="F120" s="212">
        <v>209485</v>
      </c>
      <c r="G120" s="212">
        <v>0</v>
      </c>
    </row>
    <row r="121" spans="1:7" ht="15.6" x14ac:dyDescent="0.3">
      <c r="A121" s="260">
        <v>32905</v>
      </c>
      <c r="B121" s="261" t="s">
        <v>603</v>
      </c>
      <c r="C121" s="213">
        <v>177024</v>
      </c>
      <c r="D121" s="213">
        <v>888409</v>
      </c>
      <c r="E121" s="213">
        <v>1729982</v>
      </c>
      <c r="F121" s="213">
        <v>1340303</v>
      </c>
      <c r="G121" s="213">
        <v>0</v>
      </c>
    </row>
    <row r="122" spans="1:7" ht="15.6" x14ac:dyDescent="0.3">
      <c r="A122" s="260">
        <v>32910</v>
      </c>
      <c r="B122" s="261" t="s">
        <v>604</v>
      </c>
      <c r="C122" s="212">
        <v>-1326126</v>
      </c>
      <c r="D122" s="212">
        <v>34452</v>
      </c>
      <c r="E122" s="212">
        <v>1158373</v>
      </c>
      <c r="F122" s="212">
        <v>1011567</v>
      </c>
      <c r="G122" s="212">
        <v>0</v>
      </c>
    </row>
    <row r="123" spans="1:7" ht="15.6" x14ac:dyDescent="0.3">
      <c r="A123" s="260">
        <v>32915</v>
      </c>
      <c r="B123" s="261" t="s">
        <v>605</v>
      </c>
      <c r="C123" s="213">
        <v>863926</v>
      </c>
      <c r="D123" s="213">
        <v>991319</v>
      </c>
      <c r="E123" s="213">
        <v>598561</v>
      </c>
      <c r="F123" s="213">
        <v>344552</v>
      </c>
      <c r="G123" s="213">
        <v>0</v>
      </c>
    </row>
    <row r="124" spans="1:7" ht="15.6" x14ac:dyDescent="0.3">
      <c r="A124" s="260">
        <v>32920</v>
      </c>
      <c r="B124" s="261" t="s">
        <v>606</v>
      </c>
      <c r="C124" s="212">
        <v>-1408861</v>
      </c>
      <c r="D124" s="212">
        <v>-840698</v>
      </c>
      <c r="E124" s="212">
        <v>870052</v>
      </c>
      <c r="F124" s="212">
        <v>613730</v>
      </c>
      <c r="G124" s="212">
        <v>0</v>
      </c>
    </row>
    <row r="125" spans="1:7" ht="15.6" x14ac:dyDescent="0.3">
      <c r="A125" s="260">
        <v>33000</v>
      </c>
      <c r="B125" s="261" t="s">
        <v>607</v>
      </c>
      <c r="C125" s="213">
        <v>-664082</v>
      </c>
      <c r="D125" s="213">
        <v>1643223</v>
      </c>
      <c r="E125" s="213">
        <v>5148749</v>
      </c>
      <c r="F125" s="213">
        <v>3428974</v>
      </c>
      <c r="G125" s="213">
        <v>0</v>
      </c>
    </row>
    <row r="126" spans="1:7" ht="15.6" x14ac:dyDescent="0.3">
      <c r="A126" s="260">
        <v>33001</v>
      </c>
      <c r="B126" s="261" t="s">
        <v>608</v>
      </c>
      <c r="C126" s="212">
        <v>-153125</v>
      </c>
      <c r="D126" s="212">
        <v>-97568</v>
      </c>
      <c r="E126" s="212">
        <v>-85070</v>
      </c>
      <c r="F126" s="212">
        <v>-29067</v>
      </c>
      <c r="G126" s="212">
        <v>0</v>
      </c>
    </row>
    <row r="127" spans="1:7" ht="15.6" x14ac:dyDescent="0.3">
      <c r="A127" s="260">
        <v>33027</v>
      </c>
      <c r="B127" s="261" t="s">
        <v>609</v>
      </c>
      <c r="C127" s="213">
        <v>511172</v>
      </c>
      <c r="D127" s="213">
        <v>789363</v>
      </c>
      <c r="E127" s="213">
        <v>1152644</v>
      </c>
      <c r="F127" s="213">
        <v>806492</v>
      </c>
      <c r="G127" s="213">
        <v>0</v>
      </c>
    </row>
    <row r="128" spans="1:7" ht="15.6" x14ac:dyDescent="0.3">
      <c r="A128" s="260">
        <v>33100</v>
      </c>
      <c r="B128" s="261" t="s">
        <v>610</v>
      </c>
      <c r="C128" s="212">
        <v>-994317</v>
      </c>
      <c r="D128" s="212">
        <v>2076202</v>
      </c>
      <c r="E128" s="212">
        <v>6169400</v>
      </c>
      <c r="F128" s="212">
        <v>4291557</v>
      </c>
      <c r="G128" s="212">
        <v>0</v>
      </c>
    </row>
    <row r="129" spans="1:7" ht="15.6" x14ac:dyDescent="0.3">
      <c r="A129" s="260">
        <v>33105</v>
      </c>
      <c r="B129" s="261" t="s">
        <v>611</v>
      </c>
      <c r="C129" s="213">
        <v>185139</v>
      </c>
      <c r="D129" s="213">
        <v>488131</v>
      </c>
      <c r="E129" s="213">
        <v>779068</v>
      </c>
      <c r="F129" s="213">
        <v>449632</v>
      </c>
      <c r="G129" s="213">
        <v>0</v>
      </c>
    </row>
    <row r="130" spans="1:7" ht="15.6" x14ac:dyDescent="0.3">
      <c r="A130" s="260">
        <v>33200</v>
      </c>
      <c r="B130" s="261" t="s">
        <v>612</v>
      </c>
      <c r="C130" s="212">
        <v>-6754852</v>
      </c>
      <c r="D130" s="212">
        <v>2985438</v>
      </c>
      <c r="E130" s="212">
        <v>22289213</v>
      </c>
      <c r="F130" s="212">
        <v>20262254</v>
      </c>
      <c r="G130" s="212">
        <v>0</v>
      </c>
    </row>
    <row r="131" spans="1:7" ht="15.6" x14ac:dyDescent="0.3">
      <c r="A131" s="260">
        <v>33202</v>
      </c>
      <c r="B131" s="261" t="s">
        <v>613</v>
      </c>
      <c r="C131" s="213">
        <v>148536</v>
      </c>
      <c r="D131" s="213">
        <v>190858</v>
      </c>
      <c r="E131" s="213">
        <v>555470</v>
      </c>
      <c r="F131" s="213">
        <v>443475</v>
      </c>
      <c r="G131" s="213">
        <v>0</v>
      </c>
    </row>
    <row r="132" spans="1:7" ht="15.6" x14ac:dyDescent="0.3">
      <c r="A132" s="260">
        <v>33203</v>
      </c>
      <c r="B132" s="261" t="s">
        <v>614</v>
      </c>
      <c r="C132" s="212">
        <v>438014</v>
      </c>
      <c r="D132" s="212">
        <v>442186</v>
      </c>
      <c r="E132" s="212">
        <v>476546</v>
      </c>
      <c r="F132" s="212">
        <v>371488</v>
      </c>
      <c r="G132" s="212">
        <v>0</v>
      </c>
    </row>
    <row r="133" spans="1:7" ht="15.6" x14ac:dyDescent="0.3">
      <c r="A133" s="260">
        <v>33204</v>
      </c>
      <c r="B133" s="261" t="s">
        <v>615</v>
      </c>
      <c r="C133" s="213">
        <v>187484</v>
      </c>
      <c r="D133" s="213">
        <v>617231</v>
      </c>
      <c r="E133" s="213">
        <v>1160518</v>
      </c>
      <c r="F133" s="213">
        <v>738291</v>
      </c>
      <c r="G133" s="213">
        <v>0</v>
      </c>
    </row>
    <row r="134" spans="1:7" ht="15.6" x14ac:dyDescent="0.3">
      <c r="A134" s="260">
        <v>33205</v>
      </c>
      <c r="B134" s="261" t="s">
        <v>616</v>
      </c>
      <c r="C134" s="212">
        <v>821325</v>
      </c>
      <c r="D134" s="212">
        <v>2254143</v>
      </c>
      <c r="E134" s="212">
        <v>2846105</v>
      </c>
      <c r="F134" s="212">
        <v>2078844</v>
      </c>
      <c r="G134" s="212">
        <v>0</v>
      </c>
    </row>
    <row r="135" spans="1:7" ht="15.6" x14ac:dyDescent="0.3">
      <c r="A135" s="260">
        <v>33206</v>
      </c>
      <c r="B135" s="261" t="s">
        <v>617</v>
      </c>
      <c r="C135" s="213">
        <v>188413</v>
      </c>
      <c r="D135" s="213">
        <v>311046</v>
      </c>
      <c r="E135" s="213">
        <v>380230</v>
      </c>
      <c r="F135" s="213">
        <v>303060</v>
      </c>
      <c r="G135" s="213">
        <v>0</v>
      </c>
    </row>
    <row r="136" spans="1:7" ht="15.6" x14ac:dyDescent="0.3">
      <c r="A136" s="260">
        <v>33207</v>
      </c>
      <c r="B136" s="261" t="s">
        <v>618</v>
      </c>
      <c r="C136" s="212">
        <v>420691</v>
      </c>
      <c r="D136" s="212">
        <v>400060</v>
      </c>
      <c r="E136" s="212">
        <v>596519</v>
      </c>
      <c r="F136" s="212">
        <v>423533</v>
      </c>
      <c r="G136" s="212">
        <v>0</v>
      </c>
    </row>
    <row r="137" spans="1:7" ht="15.6" x14ac:dyDescent="0.3">
      <c r="A137" s="260">
        <v>33208</v>
      </c>
      <c r="B137" s="261" t="s">
        <v>619</v>
      </c>
      <c r="C137" s="213">
        <v>0</v>
      </c>
      <c r="D137" s="213">
        <v>0</v>
      </c>
      <c r="E137" s="213">
        <v>0</v>
      </c>
      <c r="F137" s="213">
        <v>0</v>
      </c>
      <c r="G137" s="213">
        <v>0</v>
      </c>
    </row>
    <row r="138" spans="1:7" ht="15.6" x14ac:dyDescent="0.3">
      <c r="A138" s="260">
        <v>33209</v>
      </c>
      <c r="B138" s="261" t="s">
        <v>620</v>
      </c>
      <c r="C138" s="212">
        <v>-704747</v>
      </c>
      <c r="D138" s="212">
        <v>-659905</v>
      </c>
      <c r="E138" s="212">
        <v>0</v>
      </c>
      <c r="F138" s="212">
        <v>0</v>
      </c>
      <c r="G138" s="212">
        <v>0</v>
      </c>
    </row>
    <row r="139" spans="1:7" ht="15.6" x14ac:dyDescent="0.3">
      <c r="A139" s="260">
        <v>33300</v>
      </c>
      <c r="B139" s="261" t="s">
        <v>621</v>
      </c>
      <c r="C139" s="213">
        <v>-1463868</v>
      </c>
      <c r="D139" s="213">
        <v>160558</v>
      </c>
      <c r="E139" s="213">
        <v>3145323</v>
      </c>
      <c r="F139" s="213">
        <v>2690531</v>
      </c>
      <c r="G139" s="213">
        <v>0</v>
      </c>
    </row>
    <row r="140" spans="1:7" ht="15.6" x14ac:dyDescent="0.3">
      <c r="A140" s="260">
        <v>33305</v>
      </c>
      <c r="B140" s="261" t="s">
        <v>622</v>
      </c>
      <c r="C140" s="212">
        <v>-399814</v>
      </c>
      <c r="D140" s="212">
        <v>232239</v>
      </c>
      <c r="E140" s="212">
        <v>1096086</v>
      </c>
      <c r="F140" s="212">
        <v>738988</v>
      </c>
      <c r="G140" s="212">
        <v>0</v>
      </c>
    </row>
    <row r="141" spans="1:7" ht="15.6" x14ac:dyDescent="0.3">
      <c r="A141" s="260">
        <v>33400</v>
      </c>
      <c r="B141" s="261" t="s">
        <v>623</v>
      </c>
      <c r="C141" s="213">
        <v>2566053</v>
      </c>
      <c r="D141" s="213">
        <v>22042255</v>
      </c>
      <c r="E141" s="213">
        <v>43337301</v>
      </c>
      <c r="F141" s="213">
        <v>31054791</v>
      </c>
      <c r="G141" s="213">
        <v>0</v>
      </c>
    </row>
    <row r="142" spans="1:7" ht="15.6" x14ac:dyDescent="0.3">
      <c r="A142" s="260">
        <v>33402</v>
      </c>
      <c r="B142" s="261" t="s">
        <v>624</v>
      </c>
      <c r="C142" s="212">
        <v>188413</v>
      </c>
      <c r="D142" s="212">
        <v>249931</v>
      </c>
      <c r="E142" s="212">
        <v>464585</v>
      </c>
      <c r="F142" s="212">
        <v>318264</v>
      </c>
      <c r="G142" s="212">
        <v>0</v>
      </c>
    </row>
    <row r="143" spans="1:7" ht="15.6" x14ac:dyDescent="0.3">
      <c r="A143" s="260">
        <v>33405</v>
      </c>
      <c r="B143" s="261" t="s">
        <v>625</v>
      </c>
      <c r="C143" s="213">
        <v>1020708</v>
      </c>
      <c r="D143" s="213">
        <v>2784633</v>
      </c>
      <c r="E143" s="213">
        <v>4406955</v>
      </c>
      <c r="F143" s="213">
        <v>3209947</v>
      </c>
      <c r="G143" s="213">
        <v>0</v>
      </c>
    </row>
    <row r="144" spans="1:7" ht="15.6" x14ac:dyDescent="0.3">
      <c r="A144" s="260">
        <v>33500</v>
      </c>
      <c r="B144" s="261" t="s">
        <v>626</v>
      </c>
      <c r="C144" s="212">
        <v>-1157644</v>
      </c>
      <c r="D144" s="212">
        <v>1166494</v>
      </c>
      <c r="E144" s="212">
        <v>5227214</v>
      </c>
      <c r="F144" s="212">
        <v>3819467</v>
      </c>
      <c r="G144" s="212">
        <v>0</v>
      </c>
    </row>
    <row r="145" spans="1:7" ht="31.2" x14ac:dyDescent="0.3">
      <c r="A145" s="260">
        <v>33501</v>
      </c>
      <c r="B145" s="261" t="s">
        <v>627</v>
      </c>
      <c r="C145" s="213">
        <v>179525</v>
      </c>
      <c r="D145" s="213">
        <v>178275</v>
      </c>
      <c r="E145" s="213">
        <v>167157</v>
      </c>
      <c r="F145" s="213">
        <v>221662</v>
      </c>
      <c r="G145" s="213">
        <v>0</v>
      </c>
    </row>
    <row r="146" spans="1:7" ht="15.6" x14ac:dyDescent="0.3">
      <c r="A146" s="260">
        <v>33600</v>
      </c>
      <c r="B146" s="261" t="s">
        <v>628</v>
      </c>
      <c r="C146" s="212">
        <v>-6006823</v>
      </c>
      <c r="D146" s="212">
        <v>3858056</v>
      </c>
      <c r="E146" s="212">
        <v>15545134</v>
      </c>
      <c r="F146" s="212">
        <v>14467733</v>
      </c>
      <c r="G146" s="212">
        <v>0</v>
      </c>
    </row>
    <row r="147" spans="1:7" ht="15.6" x14ac:dyDescent="0.3">
      <c r="A147" s="260">
        <v>33605</v>
      </c>
      <c r="B147" s="261" t="s">
        <v>629</v>
      </c>
      <c r="C147" s="213">
        <v>-153469</v>
      </c>
      <c r="D147" s="213">
        <v>1439348</v>
      </c>
      <c r="E147" s="213">
        <v>2860581</v>
      </c>
      <c r="F147" s="213">
        <v>1928342</v>
      </c>
      <c r="G147" s="213">
        <v>0</v>
      </c>
    </row>
    <row r="148" spans="1:7" ht="15.6" x14ac:dyDescent="0.3">
      <c r="A148" s="260">
        <v>33700</v>
      </c>
      <c r="B148" s="261" t="s">
        <v>630</v>
      </c>
      <c r="C148" s="212">
        <v>134220</v>
      </c>
      <c r="D148" s="212">
        <v>682026</v>
      </c>
      <c r="E148" s="212">
        <v>1383978</v>
      </c>
      <c r="F148" s="212">
        <v>916841</v>
      </c>
      <c r="G148" s="212">
        <v>0</v>
      </c>
    </row>
    <row r="149" spans="1:7" ht="15.6" x14ac:dyDescent="0.3">
      <c r="A149" s="260">
        <v>33800</v>
      </c>
      <c r="B149" s="261" t="s">
        <v>631</v>
      </c>
      <c r="C149" s="213">
        <v>108108</v>
      </c>
      <c r="D149" s="213">
        <v>536383</v>
      </c>
      <c r="E149" s="213">
        <v>1162339</v>
      </c>
      <c r="F149" s="213">
        <v>639761</v>
      </c>
      <c r="G149" s="213">
        <v>0</v>
      </c>
    </row>
    <row r="150" spans="1:7" ht="31.2" x14ac:dyDescent="0.3">
      <c r="A150" s="260">
        <v>33900</v>
      </c>
      <c r="B150" s="261" t="s">
        <v>632</v>
      </c>
      <c r="C150" s="212">
        <v>-3156249</v>
      </c>
      <c r="D150" s="212">
        <v>-1116265</v>
      </c>
      <c r="E150" s="212">
        <v>2647405</v>
      </c>
      <c r="F150" s="212">
        <v>2803953</v>
      </c>
      <c r="G150" s="212">
        <v>0</v>
      </c>
    </row>
    <row r="151" spans="1:7" ht="15.6" x14ac:dyDescent="0.3">
      <c r="A151" s="260">
        <v>34000</v>
      </c>
      <c r="B151" s="261" t="s">
        <v>633</v>
      </c>
      <c r="C151" s="213">
        <v>714971</v>
      </c>
      <c r="D151" s="213">
        <v>1747736</v>
      </c>
      <c r="E151" s="213">
        <v>3414284</v>
      </c>
      <c r="F151" s="213">
        <v>2366728</v>
      </c>
      <c r="G151" s="213">
        <v>0</v>
      </c>
    </row>
    <row r="152" spans="1:7" ht="15.6" x14ac:dyDescent="0.3">
      <c r="A152" s="260">
        <v>34100</v>
      </c>
      <c r="B152" s="261" t="s">
        <v>634</v>
      </c>
      <c r="C152" s="212">
        <v>-15199273</v>
      </c>
      <c r="D152" s="212">
        <v>10551938</v>
      </c>
      <c r="E152" s="212">
        <v>48253075</v>
      </c>
      <c r="F152" s="212">
        <v>35964058</v>
      </c>
      <c r="G152" s="212">
        <v>0</v>
      </c>
    </row>
    <row r="153" spans="1:7" ht="15.6" x14ac:dyDescent="0.3">
      <c r="A153" s="260">
        <v>34105</v>
      </c>
      <c r="B153" s="261" t="s">
        <v>635</v>
      </c>
      <c r="C153" s="213">
        <v>-948622</v>
      </c>
      <c r="D153" s="213">
        <v>1264921</v>
      </c>
      <c r="E153" s="213">
        <v>3880355</v>
      </c>
      <c r="F153" s="213">
        <v>2865780</v>
      </c>
      <c r="G153" s="213">
        <v>0</v>
      </c>
    </row>
    <row r="154" spans="1:7" ht="15.6" x14ac:dyDescent="0.3">
      <c r="A154" s="260">
        <v>34200</v>
      </c>
      <c r="B154" s="261" t="s">
        <v>636</v>
      </c>
      <c r="C154" s="212">
        <v>-1484605</v>
      </c>
      <c r="D154" s="212">
        <v>-482110</v>
      </c>
      <c r="E154" s="212">
        <v>555334</v>
      </c>
      <c r="F154" s="212">
        <v>467881</v>
      </c>
      <c r="G154" s="212">
        <v>0</v>
      </c>
    </row>
    <row r="155" spans="1:7" ht="15.6" x14ac:dyDescent="0.3">
      <c r="A155" s="260">
        <v>34205</v>
      </c>
      <c r="B155" s="261" t="s">
        <v>637</v>
      </c>
      <c r="C155" s="213">
        <v>-449774</v>
      </c>
      <c r="D155" s="213">
        <v>45715</v>
      </c>
      <c r="E155" s="213">
        <v>356480</v>
      </c>
      <c r="F155" s="213">
        <v>257023</v>
      </c>
      <c r="G155" s="213">
        <v>0</v>
      </c>
    </row>
    <row r="156" spans="1:7" ht="15.6" x14ac:dyDescent="0.3">
      <c r="A156" s="260">
        <v>34220</v>
      </c>
      <c r="B156" s="261" t="s">
        <v>638</v>
      </c>
      <c r="C156" s="212">
        <v>-79001</v>
      </c>
      <c r="D156" s="212">
        <v>945767</v>
      </c>
      <c r="E156" s="212">
        <v>2374147</v>
      </c>
      <c r="F156" s="212">
        <v>1847951</v>
      </c>
      <c r="G156" s="212">
        <v>0</v>
      </c>
    </row>
    <row r="157" spans="1:7" ht="15.6" x14ac:dyDescent="0.3">
      <c r="A157" s="260">
        <v>34230</v>
      </c>
      <c r="B157" s="261" t="s">
        <v>639</v>
      </c>
      <c r="C157" s="213">
        <v>132800</v>
      </c>
      <c r="D157" s="213">
        <v>504530</v>
      </c>
      <c r="E157" s="213">
        <v>1032243</v>
      </c>
      <c r="F157" s="213">
        <v>685493</v>
      </c>
      <c r="G157" s="213">
        <v>0</v>
      </c>
    </row>
    <row r="158" spans="1:7" ht="15.6" x14ac:dyDescent="0.3">
      <c r="A158" s="260">
        <v>34300</v>
      </c>
      <c r="B158" s="261" t="s">
        <v>640</v>
      </c>
      <c r="C158" s="212">
        <v>-6722130</v>
      </c>
      <c r="D158" s="212">
        <v>-1352472</v>
      </c>
      <c r="E158" s="212">
        <v>8285906</v>
      </c>
      <c r="F158" s="212">
        <v>8199377</v>
      </c>
      <c r="G158" s="212">
        <v>0</v>
      </c>
    </row>
    <row r="159" spans="1:7" ht="15.6" x14ac:dyDescent="0.3">
      <c r="A159" s="260">
        <v>34400</v>
      </c>
      <c r="B159" s="261" t="s">
        <v>641</v>
      </c>
      <c r="C159" s="213">
        <v>-1069584</v>
      </c>
      <c r="D159" s="213">
        <v>790972</v>
      </c>
      <c r="E159" s="213">
        <v>3857297</v>
      </c>
      <c r="F159" s="213">
        <v>3415539</v>
      </c>
      <c r="G159" s="213">
        <v>0</v>
      </c>
    </row>
    <row r="160" spans="1:7" ht="15.6" x14ac:dyDescent="0.3">
      <c r="A160" s="260">
        <v>34405</v>
      </c>
      <c r="B160" s="261" t="s">
        <v>642</v>
      </c>
      <c r="C160" s="212">
        <v>-643039</v>
      </c>
      <c r="D160" s="212">
        <v>56563</v>
      </c>
      <c r="E160" s="212">
        <v>612427</v>
      </c>
      <c r="F160" s="212">
        <v>450750</v>
      </c>
      <c r="G160" s="212">
        <v>0</v>
      </c>
    </row>
    <row r="161" spans="1:7" ht="15.6" x14ac:dyDescent="0.3">
      <c r="A161" s="260">
        <v>34500</v>
      </c>
      <c r="B161" s="261" t="s">
        <v>643</v>
      </c>
      <c r="C161" s="213">
        <v>-274922</v>
      </c>
      <c r="D161" s="213">
        <v>4243758</v>
      </c>
      <c r="E161" s="213">
        <v>9994062</v>
      </c>
      <c r="F161" s="213">
        <v>6772392</v>
      </c>
      <c r="G161" s="213">
        <v>0</v>
      </c>
    </row>
    <row r="162" spans="1:7" ht="15.6" x14ac:dyDescent="0.3">
      <c r="A162" s="260">
        <v>34501</v>
      </c>
      <c r="B162" s="261" t="s">
        <v>644</v>
      </c>
      <c r="C162" s="212">
        <v>30820</v>
      </c>
      <c r="D162" s="212">
        <v>91095</v>
      </c>
      <c r="E162" s="212">
        <v>194656</v>
      </c>
      <c r="F162" s="212">
        <v>109204</v>
      </c>
      <c r="G162" s="212">
        <v>0</v>
      </c>
    </row>
    <row r="163" spans="1:7" ht="15.6" x14ac:dyDescent="0.3">
      <c r="A163" s="260">
        <v>34505</v>
      </c>
      <c r="B163" s="261" t="s">
        <v>645</v>
      </c>
      <c r="C163" s="213">
        <v>245678</v>
      </c>
      <c r="D163" s="213">
        <v>695090</v>
      </c>
      <c r="E163" s="213">
        <v>1325519</v>
      </c>
      <c r="F163" s="213">
        <v>1014521</v>
      </c>
      <c r="G163" s="213">
        <v>0</v>
      </c>
    </row>
    <row r="164" spans="1:7" ht="15.6" x14ac:dyDescent="0.3">
      <c r="A164" s="260">
        <v>34600</v>
      </c>
      <c r="B164" s="261" t="s">
        <v>646</v>
      </c>
      <c r="C164" s="212">
        <v>-380737</v>
      </c>
      <c r="D164" s="212">
        <v>592320</v>
      </c>
      <c r="E164" s="212">
        <v>1998140</v>
      </c>
      <c r="F164" s="212">
        <v>1970511</v>
      </c>
      <c r="G164" s="212">
        <v>0</v>
      </c>
    </row>
    <row r="165" spans="1:7" ht="15.6" x14ac:dyDescent="0.3">
      <c r="A165" s="260">
        <v>34605</v>
      </c>
      <c r="B165" s="261" t="s">
        <v>647</v>
      </c>
      <c r="C165" s="213">
        <v>-218937</v>
      </c>
      <c r="D165" s="213">
        <v>141761</v>
      </c>
      <c r="E165" s="213">
        <v>299023</v>
      </c>
      <c r="F165" s="213">
        <v>283351</v>
      </c>
      <c r="G165" s="213">
        <v>0</v>
      </c>
    </row>
    <row r="166" spans="1:7" ht="15.6" x14ac:dyDescent="0.3">
      <c r="A166" s="260">
        <v>34700</v>
      </c>
      <c r="B166" s="261" t="s">
        <v>648</v>
      </c>
      <c r="C166" s="212">
        <v>-2095489</v>
      </c>
      <c r="D166" s="212">
        <v>52943</v>
      </c>
      <c r="E166" s="212">
        <v>3816173</v>
      </c>
      <c r="F166" s="212">
        <v>3311710</v>
      </c>
      <c r="G166" s="212">
        <v>0</v>
      </c>
    </row>
    <row r="167" spans="1:7" ht="15.6" x14ac:dyDescent="0.3">
      <c r="A167" s="260">
        <v>34800</v>
      </c>
      <c r="B167" s="261" t="s">
        <v>649</v>
      </c>
      <c r="C167" s="213">
        <v>-199837</v>
      </c>
      <c r="D167" s="213">
        <v>165155</v>
      </c>
      <c r="E167" s="213">
        <v>534698</v>
      </c>
      <c r="F167" s="213">
        <v>361953</v>
      </c>
      <c r="G167" s="213">
        <v>0</v>
      </c>
    </row>
    <row r="168" spans="1:7" ht="15.6" x14ac:dyDescent="0.3">
      <c r="A168" s="260">
        <v>34900</v>
      </c>
      <c r="B168" s="261" t="s">
        <v>650</v>
      </c>
      <c r="C168" s="212">
        <v>-200358</v>
      </c>
      <c r="D168" s="212">
        <v>6381541</v>
      </c>
      <c r="E168" s="212">
        <v>13268138</v>
      </c>
      <c r="F168" s="212">
        <v>11029704</v>
      </c>
      <c r="G168" s="212">
        <v>0</v>
      </c>
    </row>
    <row r="169" spans="1:7" ht="15.6" x14ac:dyDescent="0.3">
      <c r="A169" s="260">
        <v>34901</v>
      </c>
      <c r="B169" s="261" t="s">
        <v>651</v>
      </c>
      <c r="C169" s="213">
        <v>83887</v>
      </c>
      <c r="D169" s="213">
        <v>245385</v>
      </c>
      <c r="E169" s="213">
        <v>475113</v>
      </c>
      <c r="F169" s="213">
        <v>360452</v>
      </c>
      <c r="G169" s="213">
        <v>0</v>
      </c>
    </row>
    <row r="170" spans="1:7" ht="15.6" x14ac:dyDescent="0.3">
      <c r="A170" s="260">
        <v>34903</v>
      </c>
      <c r="B170" s="261" t="s">
        <v>652</v>
      </c>
      <c r="C170" s="212">
        <v>169947</v>
      </c>
      <c r="D170" s="212">
        <v>183557</v>
      </c>
      <c r="E170" s="212">
        <v>186178</v>
      </c>
      <c r="F170" s="212">
        <v>124840</v>
      </c>
      <c r="G170" s="212">
        <v>0</v>
      </c>
    </row>
    <row r="171" spans="1:7" ht="15.6" x14ac:dyDescent="0.3">
      <c r="A171" s="260">
        <v>34905</v>
      </c>
      <c r="B171" s="261" t="s">
        <v>653</v>
      </c>
      <c r="C171" s="213">
        <v>-154868</v>
      </c>
      <c r="D171" s="213">
        <v>348341</v>
      </c>
      <c r="E171" s="213">
        <v>1275060</v>
      </c>
      <c r="F171" s="213">
        <v>857906</v>
      </c>
      <c r="G171" s="213">
        <v>0</v>
      </c>
    </row>
    <row r="172" spans="1:7" ht="15.6" x14ac:dyDescent="0.3">
      <c r="A172" s="260">
        <v>34910</v>
      </c>
      <c r="B172" s="261" t="s">
        <v>654</v>
      </c>
      <c r="C172" s="212">
        <v>106793</v>
      </c>
      <c r="D172" s="212">
        <v>1941466</v>
      </c>
      <c r="E172" s="212">
        <v>4094943</v>
      </c>
      <c r="F172" s="212">
        <v>3965816</v>
      </c>
      <c r="G172" s="212">
        <v>0</v>
      </c>
    </row>
    <row r="173" spans="1:7" ht="15.6" x14ac:dyDescent="0.3">
      <c r="A173" s="260">
        <v>35000</v>
      </c>
      <c r="B173" s="261" t="s">
        <v>655</v>
      </c>
      <c r="C173" s="213">
        <v>1538</v>
      </c>
      <c r="D173" s="213">
        <v>1380619</v>
      </c>
      <c r="E173" s="213">
        <v>3375316</v>
      </c>
      <c r="F173" s="213">
        <v>2000695</v>
      </c>
      <c r="G173" s="213">
        <v>0</v>
      </c>
    </row>
    <row r="174" spans="1:7" ht="15.6" x14ac:dyDescent="0.3">
      <c r="A174" s="260">
        <v>35005</v>
      </c>
      <c r="B174" s="261" t="s">
        <v>656</v>
      </c>
      <c r="C174" s="212">
        <v>-782376</v>
      </c>
      <c r="D174" s="212">
        <v>4121</v>
      </c>
      <c r="E174" s="212">
        <v>699463</v>
      </c>
      <c r="F174" s="212">
        <v>551005</v>
      </c>
      <c r="G174" s="212">
        <v>0</v>
      </c>
    </row>
    <row r="175" spans="1:7" ht="15.6" x14ac:dyDescent="0.3">
      <c r="A175" s="260">
        <v>35100</v>
      </c>
      <c r="B175" s="261" t="s">
        <v>657</v>
      </c>
      <c r="C175" s="213">
        <v>-4366499</v>
      </c>
      <c r="D175" s="213">
        <v>6247584</v>
      </c>
      <c r="E175" s="213">
        <v>22237500</v>
      </c>
      <c r="F175" s="213">
        <v>17786127</v>
      </c>
      <c r="G175" s="213">
        <v>0</v>
      </c>
    </row>
    <row r="176" spans="1:7" ht="15.6" x14ac:dyDescent="0.3">
      <c r="A176" s="260">
        <v>35105</v>
      </c>
      <c r="B176" s="261" t="s">
        <v>658</v>
      </c>
      <c r="C176" s="212">
        <v>-256419</v>
      </c>
      <c r="D176" s="212">
        <v>659948</v>
      </c>
      <c r="E176" s="212">
        <v>2442383</v>
      </c>
      <c r="F176" s="212">
        <v>1925999</v>
      </c>
      <c r="G176" s="212">
        <v>0</v>
      </c>
    </row>
    <row r="177" spans="1:7" ht="15.6" x14ac:dyDescent="0.3">
      <c r="A177" s="260">
        <v>35106</v>
      </c>
      <c r="B177" s="261" t="s">
        <v>659</v>
      </c>
      <c r="C177" s="213">
        <v>-336176</v>
      </c>
      <c r="D177" s="213">
        <v>-176714</v>
      </c>
      <c r="E177" s="213">
        <v>185698</v>
      </c>
      <c r="F177" s="213">
        <v>297034</v>
      </c>
      <c r="G177" s="213">
        <v>0</v>
      </c>
    </row>
    <row r="178" spans="1:7" ht="15.6" x14ac:dyDescent="0.3">
      <c r="A178" s="260">
        <v>35200</v>
      </c>
      <c r="B178" s="261" t="s">
        <v>660</v>
      </c>
      <c r="C178" s="212">
        <v>-203959</v>
      </c>
      <c r="D178" s="212">
        <v>418780</v>
      </c>
      <c r="E178" s="212">
        <v>793211</v>
      </c>
      <c r="F178" s="212">
        <v>637615</v>
      </c>
      <c r="G178" s="212">
        <v>0</v>
      </c>
    </row>
    <row r="179" spans="1:7" ht="15.6" x14ac:dyDescent="0.3">
      <c r="A179" s="260">
        <v>35300</v>
      </c>
      <c r="B179" s="261" t="s">
        <v>661</v>
      </c>
      <c r="C179" s="213">
        <v>-2908817</v>
      </c>
      <c r="D179" s="213">
        <v>761909</v>
      </c>
      <c r="E179" s="213">
        <v>4909303</v>
      </c>
      <c r="F179" s="213">
        <v>4292540</v>
      </c>
      <c r="G179" s="213">
        <v>0</v>
      </c>
    </row>
    <row r="180" spans="1:7" ht="15.6" x14ac:dyDescent="0.3">
      <c r="A180" s="260">
        <v>35305</v>
      </c>
      <c r="B180" s="261" t="s">
        <v>662</v>
      </c>
      <c r="C180" s="212">
        <v>391325</v>
      </c>
      <c r="D180" s="212">
        <v>1801298</v>
      </c>
      <c r="E180" s="212">
        <v>2886031</v>
      </c>
      <c r="F180" s="212">
        <v>1937326</v>
      </c>
      <c r="G180" s="212">
        <v>0</v>
      </c>
    </row>
    <row r="181" spans="1:7" ht="15.6" x14ac:dyDescent="0.3">
      <c r="A181" s="260">
        <v>35400</v>
      </c>
      <c r="B181" s="261" t="s">
        <v>663</v>
      </c>
      <c r="C181" s="213">
        <v>1025551</v>
      </c>
      <c r="D181" s="213">
        <v>3413431</v>
      </c>
      <c r="E181" s="213">
        <v>7021235</v>
      </c>
      <c r="F181" s="213">
        <v>3720572</v>
      </c>
      <c r="G181" s="213">
        <v>0</v>
      </c>
    </row>
    <row r="182" spans="1:7" ht="15.6" x14ac:dyDescent="0.3">
      <c r="A182" s="260">
        <v>35401</v>
      </c>
      <c r="B182" s="261" t="s">
        <v>664</v>
      </c>
      <c r="C182" s="212">
        <v>8825</v>
      </c>
      <c r="D182" s="212">
        <v>50000</v>
      </c>
      <c r="E182" s="212">
        <v>-4154</v>
      </c>
      <c r="F182" s="212">
        <v>1937</v>
      </c>
      <c r="G182" s="212">
        <v>0</v>
      </c>
    </row>
    <row r="183" spans="1:7" ht="15.6" x14ac:dyDescent="0.3">
      <c r="A183" s="260">
        <v>35405</v>
      </c>
      <c r="B183" s="261" t="s">
        <v>665</v>
      </c>
      <c r="C183" s="213">
        <v>-818393</v>
      </c>
      <c r="D183" s="213">
        <v>90641</v>
      </c>
      <c r="E183" s="213">
        <v>1484205</v>
      </c>
      <c r="F183" s="213">
        <v>1277888</v>
      </c>
      <c r="G183" s="213">
        <v>0</v>
      </c>
    </row>
    <row r="184" spans="1:7" ht="15.6" x14ac:dyDescent="0.3">
      <c r="A184" s="260">
        <v>35500</v>
      </c>
      <c r="B184" s="261" t="s">
        <v>666</v>
      </c>
      <c r="C184" s="212">
        <v>972258</v>
      </c>
      <c r="D184" s="212">
        <v>4778338</v>
      </c>
      <c r="E184" s="212">
        <v>9383993</v>
      </c>
      <c r="F184" s="212">
        <v>6840881</v>
      </c>
      <c r="G184" s="212">
        <v>0</v>
      </c>
    </row>
    <row r="185" spans="1:7" ht="15.6" x14ac:dyDescent="0.3">
      <c r="A185" s="260">
        <v>35600</v>
      </c>
      <c r="B185" s="261" t="s">
        <v>667</v>
      </c>
      <c r="C185" s="213">
        <v>169808</v>
      </c>
      <c r="D185" s="213">
        <v>1746923</v>
      </c>
      <c r="E185" s="213">
        <v>3146593</v>
      </c>
      <c r="F185" s="213">
        <v>2431416</v>
      </c>
      <c r="G185" s="213">
        <v>0</v>
      </c>
    </row>
    <row r="186" spans="1:7" ht="15.6" x14ac:dyDescent="0.3">
      <c r="A186" s="260">
        <v>35700</v>
      </c>
      <c r="B186" s="261" t="s">
        <v>668</v>
      </c>
      <c r="C186" s="212">
        <v>253857</v>
      </c>
      <c r="D186" s="212">
        <v>1096069</v>
      </c>
      <c r="E186" s="212">
        <v>2170850</v>
      </c>
      <c r="F186" s="212">
        <v>1420615</v>
      </c>
      <c r="G186" s="212">
        <v>0</v>
      </c>
    </row>
    <row r="187" spans="1:7" ht="15.6" x14ac:dyDescent="0.3">
      <c r="A187" s="260">
        <v>35800</v>
      </c>
      <c r="B187" s="261" t="s">
        <v>669</v>
      </c>
      <c r="C187" s="213">
        <v>-341472</v>
      </c>
      <c r="D187" s="213">
        <v>567517</v>
      </c>
      <c r="E187" s="213">
        <v>2357788</v>
      </c>
      <c r="F187" s="213">
        <v>1929442</v>
      </c>
      <c r="G187" s="213">
        <v>0</v>
      </c>
    </row>
    <row r="188" spans="1:7" ht="15.6" x14ac:dyDescent="0.3">
      <c r="A188" s="260">
        <v>35805</v>
      </c>
      <c r="B188" s="261" t="s">
        <v>670</v>
      </c>
      <c r="C188" s="212">
        <v>-93043</v>
      </c>
      <c r="D188" s="212">
        <v>122242</v>
      </c>
      <c r="E188" s="212">
        <v>436738</v>
      </c>
      <c r="F188" s="212">
        <v>429337</v>
      </c>
      <c r="G188" s="212">
        <v>0</v>
      </c>
    </row>
    <row r="189" spans="1:7" ht="15.6" x14ac:dyDescent="0.3">
      <c r="A189" s="260">
        <v>35900</v>
      </c>
      <c r="B189" s="261" t="s">
        <v>671</v>
      </c>
      <c r="C189" s="213">
        <v>-1241606</v>
      </c>
      <c r="D189" s="213">
        <v>856488</v>
      </c>
      <c r="E189" s="213">
        <v>3703157</v>
      </c>
      <c r="F189" s="213">
        <v>2955639</v>
      </c>
      <c r="G189" s="213">
        <v>0</v>
      </c>
    </row>
    <row r="190" spans="1:7" ht="15.6" x14ac:dyDescent="0.3">
      <c r="A190" s="260">
        <v>35905</v>
      </c>
      <c r="B190" s="261" t="s">
        <v>672</v>
      </c>
      <c r="C190" s="212">
        <v>427414</v>
      </c>
      <c r="D190" s="212">
        <v>881211</v>
      </c>
      <c r="E190" s="212">
        <v>1087926</v>
      </c>
      <c r="F190" s="212">
        <v>533757</v>
      </c>
      <c r="G190" s="212">
        <v>0</v>
      </c>
    </row>
    <row r="191" spans="1:7" ht="15.6" x14ac:dyDescent="0.3">
      <c r="A191" s="260">
        <v>36000</v>
      </c>
      <c r="B191" s="261" t="s">
        <v>673</v>
      </c>
      <c r="C191" s="213">
        <v>-31904944</v>
      </c>
      <c r="D191" s="213">
        <v>11449502</v>
      </c>
      <c r="E191" s="213">
        <v>78006757</v>
      </c>
      <c r="F191" s="213">
        <v>77827500</v>
      </c>
      <c r="G191" s="213">
        <v>0</v>
      </c>
    </row>
    <row r="192" spans="1:7" ht="15.6" x14ac:dyDescent="0.3">
      <c r="A192" s="260">
        <v>36001</v>
      </c>
      <c r="B192" s="261" t="s">
        <v>674</v>
      </c>
      <c r="C192" s="212">
        <v>0</v>
      </c>
      <c r="D192" s="212">
        <v>0</v>
      </c>
      <c r="E192" s="212">
        <v>0</v>
      </c>
      <c r="F192" s="212">
        <v>0</v>
      </c>
      <c r="G192" s="212">
        <v>0</v>
      </c>
    </row>
    <row r="193" spans="1:7" ht="15.6" x14ac:dyDescent="0.3">
      <c r="A193" s="260">
        <v>36002</v>
      </c>
      <c r="B193" s="261" t="s">
        <v>675</v>
      </c>
      <c r="C193" s="213">
        <v>0</v>
      </c>
      <c r="D193" s="213">
        <v>0</v>
      </c>
      <c r="E193" s="213">
        <v>0</v>
      </c>
      <c r="F193" s="213">
        <v>0</v>
      </c>
      <c r="G193" s="213">
        <v>0</v>
      </c>
    </row>
    <row r="194" spans="1:7" ht="15.6" x14ac:dyDescent="0.3">
      <c r="A194" s="260">
        <v>36003</v>
      </c>
      <c r="B194" s="261" t="s">
        <v>676</v>
      </c>
      <c r="C194" s="212">
        <v>132017</v>
      </c>
      <c r="D194" s="212">
        <v>589297</v>
      </c>
      <c r="E194" s="212">
        <v>883009</v>
      </c>
      <c r="F194" s="212">
        <v>682622</v>
      </c>
      <c r="G194" s="212">
        <v>0</v>
      </c>
    </row>
    <row r="195" spans="1:7" ht="15.6" x14ac:dyDescent="0.3">
      <c r="A195" s="260">
        <v>36004</v>
      </c>
      <c r="B195" s="261" t="s">
        <v>677</v>
      </c>
      <c r="C195" s="213">
        <v>-41566</v>
      </c>
      <c r="D195" s="213">
        <v>119289</v>
      </c>
      <c r="E195" s="213">
        <v>223740</v>
      </c>
      <c r="F195" s="213">
        <v>241386</v>
      </c>
      <c r="G195" s="213">
        <v>0</v>
      </c>
    </row>
    <row r="196" spans="1:7" ht="15.6" x14ac:dyDescent="0.3">
      <c r="A196" s="260">
        <v>36005</v>
      </c>
      <c r="B196" s="261" t="s">
        <v>678</v>
      </c>
      <c r="C196" s="212">
        <v>-3856224</v>
      </c>
      <c r="D196" s="212">
        <v>768701</v>
      </c>
      <c r="E196" s="212">
        <v>7214449</v>
      </c>
      <c r="F196" s="212">
        <v>6088656</v>
      </c>
      <c r="G196" s="212">
        <v>0</v>
      </c>
    </row>
    <row r="197" spans="1:7" ht="15.6" x14ac:dyDescent="0.3">
      <c r="A197" s="260">
        <v>36006</v>
      </c>
      <c r="B197" s="261" t="s">
        <v>679</v>
      </c>
      <c r="C197" s="213">
        <v>355544</v>
      </c>
      <c r="D197" s="213">
        <v>973203</v>
      </c>
      <c r="E197" s="213">
        <v>1856501</v>
      </c>
      <c r="F197" s="213">
        <v>1291790</v>
      </c>
      <c r="G197" s="213">
        <v>0</v>
      </c>
    </row>
    <row r="198" spans="1:7" ht="15.6" x14ac:dyDescent="0.3">
      <c r="A198" s="260">
        <v>36007</v>
      </c>
      <c r="B198" s="261" t="s">
        <v>680</v>
      </c>
      <c r="C198" s="212">
        <v>254473</v>
      </c>
      <c r="D198" s="212">
        <v>404047</v>
      </c>
      <c r="E198" s="212">
        <v>416012</v>
      </c>
      <c r="F198" s="212">
        <v>396649</v>
      </c>
      <c r="G198" s="212">
        <v>0</v>
      </c>
    </row>
    <row r="199" spans="1:7" ht="15.6" x14ac:dyDescent="0.3">
      <c r="A199" s="260">
        <v>36008</v>
      </c>
      <c r="B199" s="261" t="s">
        <v>681</v>
      </c>
      <c r="C199" s="213">
        <v>178876</v>
      </c>
      <c r="D199" s="213">
        <v>673720</v>
      </c>
      <c r="E199" s="213">
        <v>1262633</v>
      </c>
      <c r="F199" s="213">
        <v>959176</v>
      </c>
      <c r="G199" s="213">
        <v>0</v>
      </c>
    </row>
    <row r="200" spans="1:7" ht="15.6" x14ac:dyDescent="0.3">
      <c r="A200" s="260">
        <v>36009</v>
      </c>
      <c r="B200" s="261" t="s">
        <v>682</v>
      </c>
      <c r="C200" s="212">
        <v>-319352</v>
      </c>
      <c r="D200" s="212">
        <v>-217537</v>
      </c>
      <c r="E200" s="212">
        <v>-73799</v>
      </c>
      <c r="F200" s="212">
        <v>4221</v>
      </c>
      <c r="G200" s="212">
        <v>0</v>
      </c>
    </row>
    <row r="201" spans="1:7" ht="15.6" x14ac:dyDescent="0.3">
      <c r="A201" s="260">
        <v>36100</v>
      </c>
      <c r="B201" s="261" t="s">
        <v>683</v>
      </c>
      <c r="C201" s="213">
        <v>890</v>
      </c>
      <c r="D201" s="213">
        <v>673697</v>
      </c>
      <c r="E201" s="213">
        <v>1555449</v>
      </c>
      <c r="F201" s="213">
        <v>1062168</v>
      </c>
      <c r="G201" s="213">
        <v>0</v>
      </c>
    </row>
    <row r="202" spans="1:7" ht="15.6" x14ac:dyDescent="0.3">
      <c r="A202" s="260">
        <v>36102</v>
      </c>
      <c r="B202" s="261" t="s">
        <v>684</v>
      </c>
      <c r="C202" s="212">
        <v>-1607964</v>
      </c>
      <c r="D202" s="212">
        <v>-1864039</v>
      </c>
      <c r="E202" s="212">
        <v>0</v>
      </c>
      <c r="F202" s="212">
        <v>0</v>
      </c>
      <c r="G202" s="212">
        <v>0</v>
      </c>
    </row>
    <row r="203" spans="1:7" ht="15.6" x14ac:dyDescent="0.3">
      <c r="A203" s="260">
        <v>36105</v>
      </c>
      <c r="B203" s="261" t="s">
        <v>685</v>
      </c>
      <c r="C203" s="213">
        <v>-238984</v>
      </c>
      <c r="D203" s="213">
        <v>-55522</v>
      </c>
      <c r="E203" s="213">
        <v>581223</v>
      </c>
      <c r="F203" s="213">
        <v>395416</v>
      </c>
      <c r="G203" s="213">
        <v>0</v>
      </c>
    </row>
    <row r="204" spans="1:7" ht="15.6" x14ac:dyDescent="0.3">
      <c r="A204" s="260">
        <v>36200</v>
      </c>
      <c r="B204" s="261" t="s">
        <v>686</v>
      </c>
      <c r="C204" s="212">
        <v>-1023816</v>
      </c>
      <c r="D204" s="212">
        <v>370977</v>
      </c>
      <c r="E204" s="212">
        <v>2515971</v>
      </c>
      <c r="F204" s="212">
        <v>1831563</v>
      </c>
      <c r="G204" s="212">
        <v>0</v>
      </c>
    </row>
    <row r="205" spans="1:7" ht="15.6" x14ac:dyDescent="0.3">
      <c r="A205" s="260">
        <v>36205</v>
      </c>
      <c r="B205" s="261" t="s">
        <v>687</v>
      </c>
      <c r="C205" s="213">
        <v>-64618</v>
      </c>
      <c r="D205" s="213">
        <v>108944</v>
      </c>
      <c r="E205" s="213">
        <v>483023</v>
      </c>
      <c r="F205" s="213">
        <v>494410</v>
      </c>
      <c r="G205" s="213">
        <v>0</v>
      </c>
    </row>
    <row r="206" spans="1:7" ht="15.6" x14ac:dyDescent="0.3">
      <c r="A206" s="260">
        <v>36300</v>
      </c>
      <c r="B206" s="261" t="s">
        <v>688</v>
      </c>
      <c r="C206" s="212">
        <v>-2111118</v>
      </c>
      <c r="D206" s="212">
        <v>1620842</v>
      </c>
      <c r="E206" s="212">
        <v>8929364</v>
      </c>
      <c r="F206" s="212">
        <v>6479751</v>
      </c>
      <c r="G206" s="212">
        <v>0</v>
      </c>
    </row>
    <row r="207" spans="1:7" ht="15.6" x14ac:dyDescent="0.3">
      <c r="A207" s="260">
        <v>36301</v>
      </c>
      <c r="B207" s="261" t="s">
        <v>689</v>
      </c>
      <c r="C207" s="213">
        <v>222120</v>
      </c>
      <c r="D207" s="213">
        <v>266291</v>
      </c>
      <c r="E207" s="213">
        <v>312134</v>
      </c>
      <c r="F207" s="213">
        <v>285032</v>
      </c>
      <c r="G207" s="213">
        <v>0</v>
      </c>
    </row>
    <row r="208" spans="1:7" ht="15.6" x14ac:dyDescent="0.3">
      <c r="A208" s="260">
        <v>36302</v>
      </c>
      <c r="B208" s="261" t="s">
        <v>690</v>
      </c>
      <c r="C208" s="212">
        <v>439936</v>
      </c>
      <c r="D208" s="212">
        <v>540158</v>
      </c>
      <c r="E208" s="212">
        <v>537327</v>
      </c>
      <c r="F208" s="212">
        <v>308503</v>
      </c>
      <c r="G208" s="212">
        <v>0</v>
      </c>
    </row>
    <row r="209" spans="1:7" ht="15.6" x14ac:dyDescent="0.3">
      <c r="A209" s="260">
        <v>36303</v>
      </c>
      <c r="B209" s="261" t="s">
        <v>691</v>
      </c>
      <c r="C209" s="213">
        <v>525825</v>
      </c>
      <c r="D209" s="213">
        <v>666268</v>
      </c>
      <c r="E209" s="213">
        <v>756858</v>
      </c>
      <c r="F209" s="213">
        <v>588754</v>
      </c>
      <c r="G209" s="213">
        <v>0</v>
      </c>
    </row>
    <row r="210" spans="1:7" ht="15.6" x14ac:dyDescent="0.3">
      <c r="A210" s="260">
        <v>36305</v>
      </c>
      <c r="B210" s="261" t="s">
        <v>692</v>
      </c>
      <c r="C210" s="212">
        <v>466219</v>
      </c>
      <c r="D210" s="212">
        <v>1320293</v>
      </c>
      <c r="E210" s="212">
        <v>2181106</v>
      </c>
      <c r="F210" s="212">
        <v>1504581</v>
      </c>
      <c r="G210" s="212">
        <v>0</v>
      </c>
    </row>
    <row r="211" spans="1:7" ht="15.6" x14ac:dyDescent="0.3">
      <c r="A211" s="260">
        <v>36310</v>
      </c>
      <c r="B211" s="261" t="s">
        <v>693</v>
      </c>
      <c r="C211" s="213">
        <v>0</v>
      </c>
      <c r="D211" s="213">
        <v>0</v>
      </c>
      <c r="E211" s="213">
        <v>0</v>
      </c>
      <c r="F211" s="213">
        <v>0</v>
      </c>
      <c r="G211" s="213">
        <v>0</v>
      </c>
    </row>
    <row r="212" spans="1:7" ht="15.6" x14ac:dyDescent="0.3">
      <c r="A212" s="260">
        <v>36400</v>
      </c>
      <c r="B212" s="261" t="s">
        <v>694</v>
      </c>
      <c r="C212" s="212">
        <v>-1598840</v>
      </c>
      <c r="D212" s="212">
        <v>3757560</v>
      </c>
      <c r="E212" s="212">
        <v>8994898</v>
      </c>
      <c r="F212" s="212">
        <v>7260498</v>
      </c>
      <c r="G212" s="212">
        <v>0</v>
      </c>
    </row>
    <row r="213" spans="1:7" ht="15.6" x14ac:dyDescent="0.3">
      <c r="A213" s="260">
        <v>36401</v>
      </c>
      <c r="B213" s="261" t="s">
        <v>851</v>
      </c>
      <c r="C213" s="213">
        <v>14798</v>
      </c>
      <c r="D213" s="213">
        <v>14798</v>
      </c>
      <c r="E213" s="213">
        <v>14798</v>
      </c>
      <c r="F213" s="213">
        <v>14798</v>
      </c>
      <c r="G213" s="213">
        <v>0</v>
      </c>
    </row>
    <row r="214" spans="1:7" ht="15.6" x14ac:dyDescent="0.3">
      <c r="A214" s="260">
        <v>36405</v>
      </c>
      <c r="B214" s="261" t="s">
        <v>695</v>
      </c>
      <c r="C214" s="212">
        <v>-1230340</v>
      </c>
      <c r="D214" s="212">
        <v>-409309</v>
      </c>
      <c r="E214" s="212">
        <v>819608</v>
      </c>
      <c r="F214" s="212">
        <v>602823</v>
      </c>
      <c r="G214" s="212">
        <v>0</v>
      </c>
    </row>
    <row r="215" spans="1:7" ht="15.6" x14ac:dyDescent="0.3">
      <c r="A215" s="260">
        <v>36500</v>
      </c>
      <c r="B215" s="261" t="s">
        <v>696</v>
      </c>
      <c r="C215" s="213">
        <v>-1782087</v>
      </c>
      <c r="D215" s="213">
        <v>8437013</v>
      </c>
      <c r="E215" s="213">
        <v>21116350</v>
      </c>
      <c r="F215" s="213">
        <v>12347363</v>
      </c>
      <c r="G215" s="213">
        <v>0</v>
      </c>
    </row>
    <row r="216" spans="1:7" ht="15.6" x14ac:dyDescent="0.3">
      <c r="A216" s="260">
        <v>36501</v>
      </c>
      <c r="B216" s="261" t="s">
        <v>697</v>
      </c>
      <c r="C216" s="212">
        <v>-28353</v>
      </c>
      <c r="D216" s="212">
        <v>100709</v>
      </c>
      <c r="E216" s="212">
        <v>274895</v>
      </c>
      <c r="F216" s="212">
        <v>275580</v>
      </c>
      <c r="G216" s="212">
        <v>0</v>
      </c>
    </row>
    <row r="217" spans="1:7" ht="15.6" x14ac:dyDescent="0.3">
      <c r="A217" s="260">
        <v>36502</v>
      </c>
      <c r="B217" s="261" t="s">
        <v>698</v>
      </c>
      <c r="C217" s="213">
        <v>-191298</v>
      </c>
      <c r="D217" s="213">
        <v>-162889</v>
      </c>
      <c r="E217" s="213">
        <v>-40095</v>
      </c>
      <c r="F217" s="213">
        <v>-8064</v>
      </c>
      <c r="G217" s="213">
        <v>0</v>
      </c>
    </row>
    <row r="218" spans="1:7" ht="15.6" x14ac:dyDescent="0.3">
      <c r="A218" s="260">
        <v>36505</v>
      </c>
      <c r="B218" s="261" t="s">
        <v>699</v>
      </c>
      <c r="C218" s="212">
        <v>-292716</v>
      </c>
      <c r="D218" s="212">
        <v>1806732</v>
      </c>
      <c r="E218" s="212">
        <v>4178863</v>
      </c>
      <c r="F218" s="212">
        <v>2702866</v>
      </c>
      <c r="G218" s="212">
        <v>0</v>
      </c>
    </row>
    <row r="219" spans="1:7" ht="15.6" x14ac:dyDescent="0.3">
      <c r="A219" s="260">
        <v>36600</v>
      </c>
      <c r="B219" s="261" t="s">
        <v>700</v>
      </c>
      <c r="C219" s="213">
        <v>-1076123</v>
      </c>
      <c r="D219" s="213">
        <v>-494471</v>
      </c>
      <c r="E219" s="213">
        <v>494412</v>
      </c>
      <c r="F219" s="213">
        <v>732432</v>
      </c>
      <c r="G219" s="213">
        <v>0</v>
      </c>
    </row>
    <row r="220" spans="1:7" ht="15.6" x14ac:dyDescent="0.3">
      <c r="A220" s="260">
        <v>36601</v>
      </c>
      <c r="B220" s="261" t="s">
        <v>701</v>
      </c>
      <c r="C220" s="212">
        <v>-2658003</v>
      </c>
      <c r="D220" s="212">
        <v>-2391206</v>
      </c>
      <c r="E220" s="212">
        <v>0</v>
      </c>
      <c r="F220" s="212">
        <v>0</v>
      </c>
      <c r="G220" s="212">
        <v>0</v>
      </c>
    </row>
    <row r="221" spans="1:7" ht="15.6" x14ac:dyDescent="0.3">
      <c r="A221" s="260">
        <v>36700</v>
      </c>
      <c r="B221" s="261" t="s">
        <v>702</v>
      </c>
      <c r="C221" s="213">
        <v>-4211871</v>
      </c>
      <c r="D221" s="213">
        <v>3145799</v>
      </c>
      <c r="E221" s="213">
        <v>18379330</v>
      </c>
      <c r="F221" s="213">
        <v>15023941</v>
      </c>
      <c r="G221" s="213">
        <v>0</v>
      </c>
    </row>
    <row r="222" spans="1:7" ht="15.6" x14ac:dyDescent="0.3">
      <c r="A222" s="260">
        <v>36701</v>
      </c>
      <c r="B222" s="261" t="s">
        <v>703</v>
      </c>
      <c r="C222" s="212">
        <v>-114418</v>
      </c>
      <c r="D222" s="212">
        <v>-102640</v>
      </c>
      <c r="E222" s="212">
        <v>31562</v>
      </c>
      <c r="F222" s="212">
        <v>86094</v>
      </c>
      <c r="G222" s="212">
        <v>0</v>
      </c>
    </row>
    <row r="223" spans="1:7" ht="15.6" x14ac:dyDescent="0.3">
      <c r="A223" s="260">
        <v>36705</v>
      </c>
      <c r="B223" s="261" t="s">
        <v>704</v>
      </c>
      <c r="C223" s="213">
        <v>-1265453</v>
      </c>
      <c r="D223" s="213">
        <v>-287730</v>
      </c>
      <c r="E223" s="213">
        <v>545287</v>
      </c>
      <c r="F223" s="213">
        <v>1103054</v>
      </c>
      <c r="G223" s="213">
        <v>0</v>
      </c>
    </row>
    <row r="224" spans="1:7" ht="15.6" x14ac:dyDescent="0.3">
      <c r="A224" s="260">
        <v>36800</v>
      </c>
      <c r="B224" s="261" t="s">
        <v>705</v>
      </c>
      <c r="C224" s="212">
        <v>-733888</v>
      </c>
      <c r="D224" s="212">
        <v>2707941</v>
      </c>
      <c r="E224" s="212">
        <v>6777291</v>
      </c>
      <c r="F224" s="212">
        <v>4930747</v>
      </c>
      <c r="G224" s="212">
        <v>0</v>
      </c>
    </row>
    <row r="225" spans="1:7" ht="15.6" x14ac:dyDescent="0.3">
      <c r="A225" s="260">
        <v>36802</v>
      </c>
      <c r="B225" s="261" t="s">
        <v>706</v>
      </c>
      <c r="C225" s="213">
        <v>435939</v>
      </c>
      <c r="D225" s="213">
        <v>294956</v>
      </c>
      <c r="E225" s="213">
        <v>626894</v>
      </c>
      <c r="F225" s="213">
        <v>480400</v>
      </c>
      <c r="G225" s="213">
        <v>0</v>
      </c>
    </row>
    <row r="226" spans="1:7" ht="16.2" customHeight="1" x14ac:dyDescent="0.3">
      <c r="A226" s="260">
        <v>36810</v>
      </c>
      <c r="B226" s="261" t="s">
        <v>707</v>
      </c>
      <c r="C226" s="212">
        <v>-574395</v>
      </c>
      <c r="D226" s="212">
        <v>4905354</v>
      </c>
      <c r="E226" s="212">
        <v>12803636</v>
      </c>
      <c r="F226" s="212">
        <v>9933101</v>
      </c>
      <c r="G226" s="212">
        <v>0</v>
      </c>
    </row>
    <row r="227" spans="1:7" ht="15.6" x14ac:dyDescent="0.3">
      <c r="A227" s="260">
        <v>36900</v>
      </c>
      <c r="B227" s="261" t="s">
        <v>708</v>
      </c>
      <c r="C227" s="213">
        <v>163876</v>
      </c>
      <c r="D227" s="213">
        <v>639348</v>
      </c>
      <c r="E227" s="213">
        <v>1239232</v>
      </c>
      <c r="F227" s="213">
        <v>536592</v>
      </c>
      <c r="G227" s="213">
        <v>0</v>
      </c>
    </row>
    <row r="228" spans="1:7" ht="15.6" x14ac:dyDescent="0.3">
      <c r="A228" s="260">
        <v>36901</v>
      </c>
      <c r="B228" s="261" t="s">
        <v>709</v>
      </c>
      <c r="C228" s="212">
        <v>-102589</v>
      </c>
      <c r="D228" s="212">
        <v>89016</v>
      </c>
      <c r="E228" s="212">
        <v>574720</v>
      </c>
      <c r="F228" s="212">
        <v>391302</v>
      </c>
      <c r="G228" s="212">
        <v>0</v>
      </c>
    </row>
    <row r="229" spans="1:7" ht="15.6" x14ac:dyDescent="0.3">
      <c r="A229" s="260">
        <v>36905</v>
      </c>
      <c r="B229" s="261" t="s">
        <v>710</v>
      </c>
      <c r="C229" s="213">
        <v>-261093</v>
      </c>
      <c r="D229" s="213">
        <v>-58049</v>
      </c>
      <c r="E229" s="213">
        <v>260520</v>
      </c>
      <c r="F229" s="213">
        <v>186858</v>
      </c>
      <c r="G229" s="213">
        <v>0</v>
      </c>
    </row>
    <row r="230" spans="1:7" ht="15.6" x14ac:dyDescent="0.3">
      <c r="A230" s="260">
        <v>37000</v>
      </c>
      <c r="B230" s="261" t="s">
        <v>711</v>
      </c>
      <c r="C230" s="212">
        <v>-1567538</v>
      </c>
      <c r="D230" s="212">
        <v>-159191</v>
      </c>
      <c r="E230" s="212">
        <v>2854572</v>
      </c>
      <c r="F230" s="212">
        <v>2590315</v>
      </c>
      <c r="G230" s="212">
        <v>0</v>
      </c>
    </row>
    <row r="231" spans="1:7" ht="31.2" x14ac:dyDescent="0.3">
      <c r="A231" s="260">
        <v>37001</v>
      </c>
      <c r="B231" s="261" t="s">
        <v>712</v>
      </c>
      <c r="C231" s="213">
        <v>413428</v>
      </c>
      <c r="D231" s="213">
        <v>317226</v>
      </c>
      <c r="E231" s="213">
        <v>316395</v>
      </c>
      <c r="F231" s="213">
        <v>176761</v>
      </c>
      <c r="G231" s="213">
        <v>0</v>
      </c>
    </row>
    <row r="232" spans="1:7" ht="15.6" x14ac:dyDescent="0.3">
      <c r="A232" s="260">
        <v>37005</v>
      </c>
      <c r="B232" s="261" t="s">
        <v>713</v>
      </c>
      <c r="C232" s="212">
        <v>456686</v>
      </c>
      <c r="D232" s="212">
        <v>798436</v>
      </c>
      <c r="E232" s="212">
        <v>1171326</v>
      </c>
      <c r="F232" s="212">
        <v>855498</v>
      </c>
      <c r="G232" s="212">
        <v>0</v>
      </c>
    </row>
    <row r="233" spans="1:7" ht="15.6" x14ac:dyDescent="0.3">
      <c r="A233" s="260">
        <v>37100</v>
      </c>
      <c r="B233" s="261" t="s">
        <v>714</v>
      </c>
      <c r="C233" s="213">
        <v>2564831</v>
      </c>
      <c r="D233" s="213">
        <v>5387379</v>
      </c>
      <c r="E233" s="213">
        <v>9767150</v>
      </c>
      <c r="F233" s="213">
        <v>7089764</v>
      </c>
      <c r="G233" s="213">
        <v>0</v>
      </c>
    </row>
    <row r="234" spans="1:7" ht="15.6" x14ac:dyDescent="0.3">
      <c r="A234" s="260">
        <v>37200</v>
      </c>
      <c r="B234" s="261" t="s">
        <v>715</v>
      </c>
      <c r="C234" s="212">
        <v>316537</v>
      </c>
      <c r="D234" s="212">
        <v>974539</v>
      </c>
      <c r="E234" s="212">
        <v>1906677</v>
      </c>
      <c r="F234" s="212">
        <v>1234890</v>
      </c>
      <c r="G234" s="212">
        <v>0</v>
      </c>
    </row>
    <row r="235" spans="1:7" ht="15.6" x14ac:dyDescent="0.3">
      <c r="A235" s="260">
        <v>37300</v>
      </c>
      <c r="B235" s="261" t="s">
        <v>716</v>
      </c>
      <c r="C235" s="214">
        <v>-744303</v>
      </c>
      <c r="D235" s="214">
        <v>1398000</v>
      </c>
      <c r="E235" s="214">
        <v>3637262</v>
      </c>
      <c r="F235" s="214">
        <v>2717028</v>
      </c>
      <c r="G235" s="214">
        <v>0</v>
      </c>
    </row>
    <row r="236" spans="1:7" ht="15.6" x14ac:dyDescent="0.3">
      <c r="A236" s="260">
        <v>37301</v>
      </c>
      <c r="B236" s="261" t="s">
        <v>717</v>
      </c>
      <c r="C236" s="212">
        <v>-216495</v>
      </c>
      <c r="D236" s="212">
        <v>-45864</v>
      </c>
      <c r="E236" s="212">
        <v>253851</v>
      </c>
      <c r="F236" s="212">
        <v>279747</v>
      </c>
      <c r="G236" s="212">
        <v>0</v>
      </c>
    </row>
    <row r="237" spans="1:7" ht="15.6" x14ac:dyDescent="0.3">
      <c r="A237" s="260">
        <v>37305</v>
      </c>
      <c r="B237" s="261" t="s">
        <v>718</v>
      </c>
      <c r="C237" s="213">
        <v>-403725</v>
      </c>
      <c r="D237" s="213">
        <v>85159</v>
      </c>
      <c r="E237" s="213">
        <v>507763</v>
      </c>
      <c r="F237" s="213">
        <v>301546</v>
      </c>
      <c r="G237" s="213">
        <v>0</v>
      </c>
    </row>
    <row r="238" spans="1:7" ht="15.6" x14ac:dyDescent="0.3">
      <c r="A238" s="260">
        <v>37400</v>
      </c>
      <c r="B238" s="261" t="s">
        <v>719</v>
      </c>
      <c r="C238" s="212">
        <v>-1818418</v>
      </c>
      <c r="D238" s="212">
        <v>5688523</v>
      </c>
      <c r="E238" s="212">
        <v>15329626</v>
      </c>
      <c r="F238" s="212">
        <v>12585677</v>
      </c>
      <c r="G238" s="212">
        <v>0</v>
      </c>
    </row>
    <row r="239" spans="1:7" ht="15.6" x14ac:dyDescent="0.3">
      <c r="A239" s="260">
        <v>37405</v>
      </c>
      <c r="B239" s="261" t="s">
        <v>720</v>
      </c>
      <c r="C239" s="213">
        <v>-903044</v>
      </c>
      <c r="D239" s="213">
        <v>1196284</v>
      </c>
      <c r="E239" s="213">
        <v>3338992</v>
      </c>
      <c r="F239" s="213">
        <v>2403427</v>
      </c>
      <c r="G239" s="213">
        <v>0</v>
      </c>
    </row>
    <row r="240" spans="1:7" ht="15.6" x14ac:dyDescent="0.3">
      <c r="A240" s="260">
        <v>37500</v>
      </c>
      <c r="B240" s="261" t="s">
        <v>721</v>
      </c>
      <c r="C240" s="212">
        <v>68160</v>
      </c>
      <c r="D240" s="212">
        <v>1024331</v>
      </c>
      <c r="E240" s="212">
        <v>2288465</v>
      </c>
      <c r="F240" s="212">
        <v>1615984</v>
      </c>
      <c r="G240" s="212">
        <v>0</v>
      </c>
    </row>
    <row r="241" spans="1:7" ht="15.6" x14ac:dyDescent="0.3">
      <c r="A241" s="260">
        <v>37600</v>
      </c>
      <c r="B241" s="261" t="s">
        <v>722</v>
      </c>
      <c r="C241" s="213">
        <v>-2829973</v>
      </c>
      <c r="D241" s="213">
        <v>3162758</v>
      </c>
      <c r="E241" s="213">
        <v>10468681</v>
      </c>
      <c r="F241" s="213">
        <v>7938501</v>
      </c>
      <c r="G241" s="213">
        <v>0</v>
      </c>
    </row>
    <row r="242" spans="1:7" ht="15.6" x14ac:dyDescent="0.3">
      <c r="A242" s="260">
        <v>37601</v>
      </c>
      <c r="B242" s="261" t="s">
        <v>723</v>
      </c>
      <c r="C242" s="212">
        <v>829869</v>
      </c>
      <c r="D242" s="212">
        <v>1018263</v>
      </c>
      <c r="E242" s="212">
        <v>1379114</v>
      </c>
      <c r="F242" s="212">
        <v>1085485</v>
      </c>
      <c r="G242" s="212">
        <v>0</v>
      </c>
    </row>
    <row r="243" spans="1:7" ht="15.6" x14ac:dyDescent="0.3">
      <c r="A243" s="260">
        <v>37605</v>
      </c>
      <c r="B243" s="261" t="s">
        <v>724</v>
      </c>
      <c r="C243" s="213">
        <v>-124932</v>
      </c>
      <c r="D243" s="213">
        <v>574054</v>
      </c>
      <c r="E243" s="213">
        <v>1604147</v>
      </c>
      <c r="F243" s="213">
        <v>1139451</v>
      </c>
      <c r="G243" s="213">
        <v>0</v>
      </c>
    </row>
    <row r="244" spans="1:7" ht="15.6" x14ac:dyDescent="0.3">
      <c r="A244" s="260">
        <v>37610</v>
      </c>
      <c r="B244" s="261" t="s">
        <v>725</v>
      </c>
      <c r="C244" s="212">
        <v>-1006441</v>
      </c>
      <c r="D244" s="212">
        <v>508659</v>
      </c>
      <c r="E244" s="212">
        <v>3196805</v>
      </c>
      <c r="F244" s="212">
        <v>2593471</v>
      </c>
      <c r="G244" s="212">
        <v>0</v>
      </c>
    </row>
    <row r="245" spans="1:7" ht="15.6" x14ac:dyDescent="0.3">
      <c r="A245" s="260">
        <v>37700</v>
      </c>
      <c r="B245" s="261" t="s">
        <v>726</v>
      </c>
      <c r="C245" s="213">
        <v>-413329</v>
      </c>
      <c r="D245" s="213">
        <v>2168600</v>
      </c>
      <c r="E245" s="213">
        <v>5487914</v>
      </c>
      <c r="F245" s="213">
        <v>3677235</v>
      </c>
      <c r="G245" s="213">
        <v>0</v>
      </c>
    </row>
    <row r="246" spans="1:7" ht="15.6" x14ac:dyDescent="0.3">
      <c r="A246" s="260">
        <v>37705</v>
      </c>
      <c r="B246" s="261" t="s">
        <v>727</v>
      </c>
      <c r="C246" s="212">
        <v>-744483</v>
      </c>
      <c r="D246" s="212">
        <v>88389</v>
      </c>
      <c r="E246" s="212">
        <v>1120134</v>
      </c>
      <c r="F246" s="212">
        <v>654086</v>
      </c>
      <c r="G246" s="212">
        <v>0</v>
      </c>
    </row>
    <row r="247" spans="1:7" ht="15.6" x14ac:dyDescent="0.3">
      <c r="A247" s="260">
        <v>37800</v>
      </c>
      <c r="B247" s="261" t="s">
        <v>728</v>
      </c>
      <c r="C247" s="213">
        <v>-5805117</v>
      </c>
      <c r="D247" s="213">
        <v>2862090</v>
      </c>
      <c r="E247" s="213">
        <v>10651100</v>
      </c>
      <c r="F247" s="213">
        <v>7531013</v>
      </c>
      <c r="G247" s="213">
        <v>0</v>
      </c>
    </row>
    <row r="248" spans="1:7" ht="15.6" x14ac:dyDescent="0.3">
      <c r="A248" s="260">
        <v>37801</v>
      </c>
      <c r="B248" s="261" t="s">
        <v>729</v>
      </c>
      <c r="C248" s="212">
        <v>46034</v>
      </c>
      <c r="D248" s="212">
        <v>55772</v>
      </c>
      <c r="E248" s="212">
        <v>155341</v>
      </c>
      <c r="F248" s="212">
        <v>116544</v>
      </c>
      <c r="G248" s="212">
        <v>0</v>
      </c>
    </row>
    <row r="249" spans="1:7" ht="15.6" x14ac:dyDescent="0.3">
      <c r="A249" s="260">
        <v>37805</v>
      </c>
      <c r="B249" s="261" t="s">
        <v>730</v>
      </c>
      <c r="C249" s="213">
        <v>421154</v>
      </c>
      <c r="D249" s="213">
        <v>834977</v>
      </c>
      <c r="E249" s="213">
        <v>1334359</v>
      </c>
      <c r="F249" s="213">
        <v>958865</v>
      </c>
      <c r="G249" s="213">
        <v>0</v>
      </c>
    </row>
    <row r="250" spans="1:7" ht="15.6" x14ac:dyDescent="0.3">
      <c r="A250" s="260">
        <v>37900</v>
      </c>
      <c r="B250" s="261" t="s">
        <v>731</v>
      </c>
      <c r="C250" s="212">
        <v>-86882</v>
      </c>
      <c r="D250" s="212">
        <v>3046146</v>
      </c>
      <c r="E250" s="212">
        <v>6981967</v>
      </c>
      <c r="F250" s="212">
        <v>5773475</v>
      </c>
      <c r="G250" s="212">
        <v>0</v>
      </c>
    </row>
    <row r="251" spans="1:7" ht="15.6" x14ac:dyDescent="0.3">
      <c r="A251" s="260">
        <v>37901</v>
      </c>
      <c r="B251" s="261" t="s">
        <v>732</v>
      </c>
      <c r="C251" s="213">
        <v>323278</v>
      </c>
      <c r="D251" s="213">
        <v>409826</v>
      </c>
      <c r="E251" s="213">
        <v>413385</v>
      </c>
      <c r="F251" s="213">
        <v>302267</v>
      </c>
      <c r="G251" s="213">
        <v>0</v>
      </c>
    </row>
    <row r="252" spans="1:7" ht="15.6" x14ac:dyDescent="0.3">
      <c r="A252" s="260">
        <v>37905</v>
      </c>
      <c r="B252" s="261" t="s">
        <v>733</v>
      </c>
      <c r="C252" s="212">
        <v>-40296</v>
      </c>
      <c r="D252" s="212">
        <v>329748</v>
      </c>
      <c r="E252" s="212">
        <v>780827</v>
      </c>
      <c r="F252" s="212">
        <v>558664</v>
      </c>
      <c r="G252" s="212">
        <v>0</v>
      </c>
    </row>
    <row r="253" spans="1:7" ht="15.6" x14ac:dyDescent="0.3">
      <c r="A253" s="260">
        <v>38000</v>
      </c>
      <c r="B253" s="261" t="s">
        <v>734</v>
      </c>
      <c r="C253" s="213">
        <v>-4188922</v>
      </c>
      <c r="D253" s="213">
        <v>1769540</v>
      </c>
      <c r="E253" s="213">
        <v>10708004</v>
      </c>
      <c r="F253" s="213">
        <v>10611143</v>
      </c>
      <c r="G253" s="213">
        <v>0</v>
      </c>
    </row>
    <row r="254" spans="1:7" ht="15.6" x14ac:dyDescent="0.3">
      <c r="A254" s="260">
        <v>38005</v>
      </c>
      <c r="B254" s="261" t="s">
        <v>735</v>
      </c>
      <c r="C254" s="212">
        <v>1139665</v>
      </c>
      <c r="D254" s="212">
        <v>2422035</v>
      </c>
      <c r="E254" s="212">
        <v>3609145</v>
      </c>
      <c r="F254" s="212">
        <v>2538659</v>
      </c>
      <c r="G254" s="212">
        <v>0</v>
      </c>
    </row>
    <row r="255" spans="1:7" ht="15.6" x14ac:dyDescent="0.3">
      <c r="A255" s="260">
        <v>38100</v>
      </c>
      <c r="B255" s="261" t="s">
        <v>736</v>
      </c>
      <c r="C255" s="213">
        <v>-1069334</v>
      </c>
      <c r="D255" s="213">
        <v>1825755</v>
      </c>
      <c r="E255" s="213">
        <v>6097626</v>
      </c>
      <c r="F255" s="213">
        <v>3633723</v>
      </c>
      <c r="G255" s="213">
        <v>0</v>
      </c>
    </row>
    <row r="256" spans="1:7" ht="15.6" x14ac:dyDescent="0.3">
      <c r="A256" s="260">
        <v>38105</v>
      </c>
      <c r="B256" s="261" t="s">
        <v>737</v>
      </c>
      <c r="C256" s="212">
        <v>29165</v>
      </c>
      <c r="D256" s="212">
        <v>584882</v>
      </c>
      <c r="E256" s="212">
        <v>1351428</v>
      </c>
      <c r="F256" s="212">
        <v>897951</v>
      </c>
      <c r="G256" s="212">
        <v>0</v>
      </c>
    </row>
    <row r="257" spans="1:7" ht="15.6" x14ac:dyDescent="0.3">
      <c r="A257" s="260">
        <v>38200</v>
      </c>
      <c r="B257" s="261" t="s">
        <v>738</v>
      </c>
      <c r="C257" s="213">
        <v>-310903</v>
      </c>
      <c r="D257" s="213">
        <v>2776883</v>
      </c>
      <c r="E257" s="213">
        <v>5563122</v>
      </c>
      <c r="F257" s="213">
        <v>4368498</v>
      </c>
      <c r="G257" s="213">
        <v>0</v>
      </c>
    </row>
    <row r="258" spans="1:7" ht="15.6" x14ac:dyDescent="0.3">
      <c r="A258" s="260">
        <v>38205</v>
      </c>
      <c r="B258" s="261" t="s">
        <v>739</v>
      </c>
      <c r="C258" s="212">
        <v>-10714</v>
      </c>
      <c r="D258" s="212">
        <v>247910</v>
      </c>
      <c r="E258" s="212">
        <v>849208</v>
      </c>
      <c r="F258" s="212">
        <v>569941</v>
      </c>
      <c r="G258" s="212">
        <v>0</v>
      </c>
    </row>
    <row r="259" spans="1:7" ht="15.6" x14ac:dyDescent="0.3">
      <c r="A259" s="260">
        <v>38210</v>
      </c>
      <c r="B259" s="261" t="s">
        <v>740</v>
      </c>
      <c r="C259" s="213">
        <v>-62643</v>
      </c>
      <c r="D259" s="213">
        <v>1109866</v>
      </c>
      <c r="E259" s="213">
        <v>2159603</v>
      </c>
      <c r="F259" s="213">
        <v>1646906</v>
      </c>
      <c r="G259" s="213">
        <v>0</v>
      </c>
    </row>
    <row r="260" spans="1:7" ht="15.6" x14ac:dyDescent="0.3">
      <c r="A260" s="260">
        <v>38300</v>
      </c>
      <c r="B260" s="261" t="s">
        <v>741</v>
      </c>
      <c r="C260" s="212">
        <v>-553244</v>
      </c>
      <c r="D260" s="212">
        <v>1353443</v>
      </c>
      <c r="E260" s="212">
        <v>3789704</v>
      </c>
      <c r="F260" s="212">
        <v>3330916</v>
      </c>
      <c r="G260" s="212">
        <v>0</v>
      </c>
    </row>
    <row r="261" spans="1:7" ht="15.6" x14ac:dyDescent="0.3">
      <c r="A261" s="260">
        <v>38400</v>
      </c>
      <c r="B261" s="261" t="s">
        <v>742</v>
      </c>
      <c r="C261" s="213">
        <v>211861</v>
      </c>
      <c r="D261" s="213">
        <v>1999528</v>
      </c>
      <c r="E261" s="213">
        <v>5758600</v>
      </c>
      <c r="F261" s="213">
        <v>4134983</v>
      </c>
      <c r="G261" s="213">
        <v>0</v>
      </c>
    </row>
    <row r="262" spans="1:7" ht="15.6" x14ac:dyDescent="0.3">
      <c r="A262" s="260">
        <v>38402</v>
      </c>
      <c r="B262" s="261" t="s">
        <v>743</v>
      </c>
      <c r="C262" s="212">
        <v>-124606</v>
      </c>
      <c r="D262" s="212">
        <v>115552</v>
      </c>
      <c r="E262" s="212">
        <v>440485</v>
      </c>
      <c r="F262" s="212">
        <v>350993</v>
      </c>
      <c r="G262" s="212">
        <v>0</v>
      </c>
    </row>
    <row r="263" spans="1:7" ht="15.6" x14ac:dyDescent="0.3">
      <c r="A263" s="260">
        <v>38405</v>
      </c>
      <c r="B263" s="261" t="s">
        <v>744</v>
      </c>
      <c r="C263" s="213">
        <v>-284796</v>
      </c>
      <c r="D263" s="213">
        <v>369538</v>
      </c>
      <c r="E263" s="213">
        <v>1332299</v>
      </c>
      <c r="F263" s="213">
        <v>936331</v>
      </c>
      <c r="G263" s="213">
        <v>0</v>
      </c>
    </row>
    <row r="264" spans="1:7" ht="15.6" x14ac:dyDescent="0.3">
      <c r="A264" s="260">
        <v>38500</v>
      </c>
      <c r="B264" s="261" t="s">
        <v>745</v>
      </c>
      <c r="C264" s="212">
        <v>-77959</v>
      </c>
      <c r="D264" s="212">
        <v>1879880</v>
      </c>
      <c r="E264" s="212">
        <v>3883282</v>
      </c>
      <c r="F264" s="212">
        <v>3230018</v>
      </c>
      <c r="G264" s="212">
        <v>0</v>
      </c>
    </row>
    <row r="265" spans="1:7" ht="15.6" x14ac:dyDescent="0.3">
      <c r="A265" s="260">
        <v>38600</v>
      </c>
      <c r="B265" s="261" t="s">
        <v>746</v>
      </c>
      <c r="C265" s="213">
        <v>-826426</v>
      </c>
      <c r="D265" s="213">
        <v>2247958</v>
      </c>
      <c r="E265" s="213">
        <v>5292642</v>
      </c>
      <c r="F265" s="213">
        <v>4128461</v>
      </c>
      <c r="G265" s="213">
        <v>0</v>
      </c>
    </row>
    <row r="266" spans="1:7" ht="15.6" x14ac:dyDescent="0.3">
      <c r="A266" s="260">
        <v>38601</v>
      </c>
      <c r="B266" s="261" t="s">
        <v>747</v>
      </c>
      <c r="C266" s="212">
        <v>-263224</v>
      </c>
      <c r="D266" s="212">
        <v>-270997</v>
      </c>
      <c r="E266" s="212">
        <v>0</v>
      </c>
      <c r="F266" s="212">
        <v>0</v>
      </c>
      <c r="G266" s="212">
        <v>0</v>
      </c>
    </row>
    <row r="267" spans="1:7" ht="15.6" x14ac:dyDescent="0.3">
      <c r="A267" s="260">
        <v>38602</v>
      </c>
      <c r="B267" s="261" t="s">
        <v>748</v>
      </c>
      <c r="C267" s="213">
        <v>-202952</v>
      </c>
      <c r="D267" s="213">
        <v>-75546</v>
      </c>
      <c r="E267" s="213">
        <v>267831</v>
      </c>
      <c r="F267" s="213">
        <v>265553</v>
      </c>
      <c r="G267" s="213">
        <v>0</v>
      </c>
    </row>
    <row r="268" spans="1:7" ht="15.6" x14ac:dyDescent="0.3">
      <c r="A268" s="260">
        <v>38605</v>
      </c>
      <c r="B268" s="261" t="s">
        <v>749</v>
      </c>
      <c r="C268" s="212">
        <v>-437876</v>
      </c>
      <c r="D268" s="212">
        <v>463106</v>
      </c>
      <c r="E268" s="212">
        <v>1057757</v>
      </c>
      <c r="F268" s="212">
        <v>1144547</v>
      </c>
      <c r="G268" s="212">
        <v>0</v>
      </c>
    </row>
    <row r="269" spans="1:7" ht="15.6" x14ac:dyDescent="0.3">
      <c r="A269" s="260">
        <v>38610</v>
      </c>
      <c r="B269" s="261" t="s">
        <v>750</v>
      </c>
      <c r="C269" s="213">
        <v>577855</v>
      </c>
      <c r="D269" s="213">
        <v>1042823</v>
      </c>
      <c r="E269" s="213">
        <v>1818652</v>
      </c>
      <c r="F269" s="213">
        <v>1228545</v>
      </c>
      <c r="G269" s="213">
        <v>0</v>
      </c>
    </row>
    <row r="270" spans="1:7" ht="15.6" x14ac:dyDescent="0.3">
      <c r="A270" s="260">
        <v>38620</v>
      </c>
      <c r="B270" s="261" t="s">
        <v>751</v>
      </c>
      <c r="C270" s="212">
        <v>342755</v>
      </c>
      <c r="D270" s="212">
        <v>731710</v>
      </c>
      <c r="E270" s="212">
        <v>1040903</v>
      </c>
      <c r="F270" s="212">
        <v>684525</v>
      </c>
      <c r="G270" s="212">
        <v>0</v>
      </c>
    </row>
    <row r="271" spans="1:7" ht="15.6" x14ac:dyDescent="0.3">
      <c r="A271" s="260">
        <v>38700</v>
      </c>
      <c r="B271" s="261" t="s">
        <v>752</v>
      </c>
      <c r="C271" s="213">
        <v>-51785</v>
      </c>
      <c r="D271" s="213">
        <v>867121</v>
      </c>
      <c r="E271" s="213">
        <v>1806106</v>
      </c>
      <c r="F271" s="213">
        <v>1118143</v>
      </c>
      <c r="G271" s="213">
        <v>0</v>
      </c>
    </row>
    <row r="272" spans="1:7" ht="15.6" x14ac:dyDescent="0.3">
      <c r="A272" s="260">
        <v>38701</v>
      </c>
      <c r="B272" s="261" t="s">
        <v>753</v>
      </c>
      <c r="C272" s="212">
        <v>104520</v>
      </c>
      <c r="D272" s="212">
        <v>163721</v>
      </c>
      <c r="E272" s="212">
        <v>208911</v>
      </c>
      <c r="F272" s="212">
        <v>124840</v>
      </c>
      <c r="G272" s="212">
        <v>0</v>
      </c>
    </row>
    <row r="273" spans="1:7" ht="15.6" x14ac:dyDescent="0.3">
      <c r="A273" s="260">
        <v>38800</v>
      </c>
      <c r="B273" s="261" t="s">
        <v>754</v>
      </c>
      <c r="C273" s="213">
        <v>-72105</v>
      </c>
      <c r="D273" s="213">
        <v>1211590</v>
      </c>
      <c r="E273" s="213">
        <v>2511229</v>
      </c>
      <c r="F273" s="213">
        <v>2033630</v>
      </c>
      <c r="G273" s="213">
        <v>0</v>
      </c>
    </row>
    <row r="274" spans="1:7" ht="15.6" x14ac:dyDescent="0.3">
      <c r="A274" s="260">
        <v>38801</v>
      </c>
      <c r="B274" s="261" t="s">
        <v>755</v>
      </c>
      <c r="C274" s="212">
        <v>67911</v>
      </c>
      <c r="D274" s="212">
        <v>20794</v>
      </c>
      <c r="E274" s="212">
        <v>182342</v>
      </c>
      <c r="F274" s="212">
        <v>138260</v>
      </c>
      <c r="G274" s="212">
        <v>0</v>
      </c>
    </row>
    <row r="275" spans="1:7" ht="15.6" x14ac:dyDescent="0.3">
      <c r="A275" s="260">
        <v>38900</v>
      </c>
      <c r="B275" s="261" t="s">
        <v>756</v>
      </c>
      <c r="C275" s="213">
        <v>-96812</v>
      </c>
      <c r="D275" s="213">
        <v>-808</v>
      </c>
      <c r="E275" s="213">
        <v>396223</v>
      </c>
      <c r="F275" s="213">
        <v>416249</v>
      </c>
      <c r="G275" s="213">
        <v>0</v>
      </c>
    </row>
    <row r="276" spans="1:7" ht="15.6" x14ac:dyDescent="0.3">
      <c r="A276" s="260">
        <v>39000</v>
      </c>
      <c r="B276" s="261" t="s">
        <v>757</v>
      </c>
      <c r="C276" s="212">
        <v>-10170564</v>
      </c>
      <c r="D276" s="212">
        <v>1566832</v>
      </c>
      <c r="E276" s="212">
        <v>21559691</v>
      </c>
      <c r="F276" s="212">
        <v>17266810</v>
      </c>
      <c r="G276" s="212">
        <v>0</v>
      </c>
    </row>
    <row r="277" spans="1:7" ht="15.6" x14ac:dyDescent="0.3">
      <c r="A277" s="260">
        <v>39100</v>
      </c>
      <c r="B277" s="261" t="s">
        <v>758</v>
      </c>
      <c r="C277" s="213">
        <v>-1779533</v>
      </c>
      <c r="D277" s="213">
        <v>338766</v>
      </c>
      <c r="E277" s="213">
        <v>3616498</v>
      </c>
      <c r="F277" s="213">
        <v>2643651</v>
      </c>
      <c r="G277" s="213">
        <v>0</v>
      </c>
    </row>
    <row r="278" spans="1:7" ht="15.6" x14ac:dyDescent="0.3">
      <c r="A278" s="260">
        <v>39101</v>
      </c>
      <c r="B278" s="261" t="s">
        <v>759</v>
      </c>
      <c r="C278" s="212">
        <v>275500</v>
      </c>
      <c r="D278" s="212">
        <v>434315</v>
      </c>
      <c r="E278" s="212">
        <v>663620</v>
      </c>
      <c r="F278" s="212">
        <v>483414</v>
      </c>
      <c r="G278" s="212">
        <v>0</v>
      </c>
    </row>
    <row r="279" spans="1:7" ht="15.6" x14ac:dyDescent="0.3">
      <c r="A279" s="260">
        <v>39105</v>
      </c>
      <c r="B279" s="261" t="s">
        <v>760</v>
      </c>
      <c r="C279" s="213">
        <v>-223252</v>
      </c>
      <c r="D279" s="213">
        <v>643963</v>
      </c>
      <c r="E279" s="213">
        <v>1774252</v>
      </c>
      <c r="F279" s="213">
        <v>1342188</v>
      </c>
      <c r="G279" s="213">
        <v>0</v>
      </c>
    </row>
    <row r="280" spans="1:7" ht="15.6" x14ac:dyDescent="0.3">
      <c r="A280" s="260">
        <v>39200</v>
      </c>
      <c r="B280" s="261" t="s">
        <v>761</v>
      </c>
      <c r="C280" s="212">
        <v>-14123036</v>
      </c>
      <c r="D280" s="212">
        <v>39998063</v>
      </c>
      <c r="E280" s="212">
        <v>131449996</v>
      </c>
      <c r="F280" s="212">
        <v>92953349</v>
      </c>
      <c r="G280" s="212">
        <v>0</v>
      </c>
    </row>
    <row r="281" spans="1:7" ht="15.6" x14ac:dyDescent="0.3">
      <c r="A281" s="260">
        <v>39201</v>
      </c>
      <c r="B281" s="261" t="s">
        <v>762</v>
      </c>
      <c r="C281" s="213">
        <v>492705</v>
      </c>
      <c r="D281" s="213">
        <v>756107</v>
      </c>
      <c r="E281" s="213">
        <v>785478</v>
      </c>
      <c r="F281" s="213">
        <v>446722</v>
      </c>
      <c r="G281" s="213">
        <v>0</v>
      </c>
    </row>
    <row r="282" spans="1:7" ht="15.6" x14ac:dyDescent="0.3">
      <c r="A282" s="260">
        <v>39204</v>
      </c>
      <c r="B282" s="261" t="s">
        <v>763</v>
      </c>
      <c r="C282" s="212">
        <v>-569766</v>
      </c>
      <c r="D282" s="212">
        <v>-768202</v>
      </c>
      <c r="E282" s="212">
        <v>-104840</v>
      </c>
      <c r="F282" s="212">
        <v>-168650</v>
      </c>
      <c r="G282" s="212">
        <v>0</v>
      </c>
    </row>
    <row r="283" spans="1:7" ht="15.6" x14ac:dyDescent="0.3">
      <c r="A283" s="260">
        <v>39205</v>
      </c>
      <c r="B283" s="261" t="s">
        <v>764</v>
      </c>
      <c r="C283" s="213">
        <v>1162210</v>
      </c>
      <c r="D283" s="213">
        <v>6634043</v>
      </c>
      <c r="E283" s="213">
        <v>12104277</v>
      </c>
      <c r="F283" s="213">
        <v>8463050</v>
      </c>
      <c r="G283" s="213">
        <v>0</v>
      </c>
    </row>
    <row r="284" spans="1:7" ht="15.6" x14ac:dyDescent="0.3">
      <c r="A284" s="260">
        <v>39208</v>
      </c>
      <c r="B284" s="261" t="s">
        <v>765</v>
      </c>
      <c r="C284" s="212">
        <v>-74371</v>
      </c>
      <c r="D284" s="212">
        <v>74243</v>
      </c>
      <c r="E284" s="212">
        <v>725293</v>
      </c>
      <c r="F284" s="212">
        <v>622323</v>
      </c>
      <c r="G284" s="212">
        <v>0</v>
      </c>
    </row>
    <row r="285" spans="1:7" ht="15.6" x14ac:dyDescent="0.3">
      <c r="A285" s="260">
        <v>39209</v>
      </c>
      <c r="B285" s="261" t="s">
        <v>766</v>
      </c>
      <c r="C285" s="213">
        <v>-1292094</v>
      </c>
      <c r="D285" s="213">
        <v>-1184324</v>
      </c>
      <c r="E285" s="213">
        <v>0</v>
      </c>
      <c r="F285" s="213">
        <v>0</v>
      </c>
      <c r="G285" s="213">
        <v>0</v>
      </c>
    </row>
    <row r="286" spans="1:7" ht="15.6" x14ac:dyDescent="0.3">
      <c r="A286" s="260">
        <v>39220</v>
      </c>
      <c r="B286" s="261" t="s">
        <v>767</v>
      </c>
      <c r="C286" s="212">
        <v>-216592</v>
      </c>
      <c r="D286" s="212">
        <v>-404838</v>
      </c>
      <c r="E286" s="212">
        <v>-349733</v>
      </c>
      <c r="F286" s="212">
        <v>0</v>
      </c>
      <c r="G286" s="212">
        <v>0</v>
      </c>
    </row>
    <row r="287" spans="1:7" ht="15.6" x14ac:dyDescent="0.3">
      <c r="A287" s="260">
        <v>39300</v>
      </c>
      <c r="B287" s="261" t="s">
        <v>768</v>
      </c>
      <c r="C287" s="213">
        <v>-389394</v>
      </c>
      <c r="D287" s="213">
        <v>678656</v>
      </c>
      <c r="E287" s="213">
        <v>1781640</v>
      </c>
      <c r="F287" s="213">
        <v>1185633</v>
      </c>
      <c r="G287" s="213">
        <v>0</v>
      </c>
    </row>
    <row r="288" spans="1:7" ht="15.6" x14ac:dyDescent="0.3">
      <c r="A288" s="260">
        <v>39301</v>
      </c>
      <c r="B288" s="261" t="s">
        <v>769</v>
      </c>
      <c r="C288" s="212">
        <v>67237</v>
      </c>
      <c r="D288" s="212">
        <v>71529</v>
      </c>
      <c r="E288" s="212">
        <v>112861</v>
      </c>
      <c r="F288" s="212">
        <v>79860</v>
      </c>
      <c r="G288" s="212">
        <v>0</v>
      </c>
    </row>
    <row r="289" spans="1:7" ht="15.6" x14ac:dyDescent="0.3">
      <c r="A289" s="260">
        <v>39400</v>
      </c>
      <c r="B289" s="261" t="s">
        <v>770</v>
      </c>
      <c r="C289" s="213">
        <v>-698605</v>
      </c>
      <c r="D289" s="213">
        <v>-17329</v>
      </c>
      <c r="E289" s="213">
        <v>888803</v>
      </c>
      <c r="F289" s="213">
        <v>536953</v>
      </c>
      <c r="G289" s="213">
        <v>0</v>
      </c>
    </row>
    <row r="290" spans="1:7" ht="15.6" x14ac:dyDescent="0.3">
      <c r="A290" s="260">
        <v>39401</v>
      </c>
      <c r="B290" s="261" t="s">
        <v>771</v>
      </c>
      <c r="C290" s="212">
        <v>10754</v>
      </c>
      <c r="D290" s="212">
        <v>-135056</v>
      </c>
      <c r="E290" s="212">
        <v>535390</v>
      </c>
      <c r="F290" s="212">
        <v>688777</v>
      </c>
      <c r="G290" s="212">
        <v>0</v>
      </c>
    </row>
    <row r="291" spans="1:7" ht="15.6" x14ac:dyDescent="0.3">
      <c r="A291" s="260">
        <v>39500</v>
      </c>
      <c r="B291" s="261" t="s">
        <v>772</v>
      </c>
      <c r="C291" s="213">
        <v>616849</v>
      </c>
      <c r="D291" s="213">
        <v>2305096</v>
      </c>
      <c r="E291" s="213">
        <v>3568904</v>
      </c>
      <c r="F291" s="213">
        <v>3294733</v>
      </c>
      <c r="G291" s="213">
        <v>0</v>
      </c>
    </row>
    <row r="292" spans="1:7" ht="15.6" x14ac:dyDescent="0.3">
      <c r="A292" s="260">
        <v>39501</v>
      </c>
      <c r="B292" s="261" t="s">
        <v>773</v>
      </c>
      <c r="C292" s="212">
        <v>-35468</v>
      </c>
      <c r="D292" s="212">
        <v>3817</v>
      </c>
      <c r="E292" s="212">
        <v>59241</v>
      </c>
      <c r="F292" s="212">
        <v>45270</v>
      </c>
      <c r="G292" s="212">
        <v>0</v>
      </c>
    </row>
    <row r="293" spans="1:7" ht="15.6" x14ac:dyDescent="0.3">
      <c r="A293" s="260">
        <v>39600</v>
      </c>
      <c r="B293" s="261" t="s">
        <v>774</v>
      </c>
      <c r="C293" s="213">
        <v>-4585346</v>
      </c>
      <c r="D293" s="213">
        <v>-6603</v>
      </c>
      <c r="E293" s="213">
        <v>10144356</v>
      </c>
      <c r="F293" s="213">
        <v>7099127</v>
      </c>
      <c r="G293" s="213">
        <v>0</v>
      </c>
    </row>
    <row r="294" spans="1:7" ht="15.6" x14ac:dyDescent="0.3">
      <c r="A294" s="260">
        <v>39605</v>
      </c>
      <c r="B294" s="261" t="s">
        <v>775</v>
      </c>
      <c r="C294" s="212">
        <v>-733469</v>
      </c>
      <c r="D294" s="212">
        <v>46612</v>
      </c>
      <c r="E294" s="212">
        <v>913485</v>
      </c>
      <c r="F294" s="212">
        <v>929680</v>
      </c>
      <c r="G294" s="212">
        <v>0</v>
      </c>
    </row>
    <row r="295" spans="1:7" ht="15.6" x14ac:dyDescent="0.3">
      <c r="A295" s="260">
        <v>39700</v>
      </c>
      <c r="B295" s="261" t="s">
        <v>776</v>
      </c>
      <c r="C295" s="213">
        <v>-1179120</v>
      </c>
      <c r="D295" s="213">
        <v>2001956</v>
      </c>
      <c r="E295" s="213">
        <v>6443226</v>
      </c>
      <c r="F295" s="213">
        <v>5621622</v>
      </c>
      <c r="G295" s="213">
        <v>0</v>
      </c>
    </row>
    <row r="296" spans="1:7" ht="15.6" x14ac:dyDescent="0.3">
      <c r="A296" s="260">
        <v>39703</v>
      </c>
      <c r="B296" s="261" t="s">
        <v>777</v>
      </c>
      <c r="C296" s="212">
        <v>-29897</v>
      </c>
      <c r="D296" s="212">
        <v>250538</v>
      </c>
      <c r="E296" s="212">
        <v>657103</v>
      </c>
      <c r="F296" s="212">
        <v>486509</v>
      </c>
      <c r="G296" s="212">
        <v>0</v>
      </c>
    </row>
    <row r="297" spans="1:7" ht="15.6" x14ac:dyDescent="0.3">
      <c r="A297" s="260">
        <v>39705</v>
      </c>
      <c r="B297" s="261" t="s">
        <v>778</v>
      </c>
      <c r="C297" s="213">
        <v>285010</v>
      </c>
      <c r="D297" s="213">
        <v>1069215</v>
      </c>
      <c r="E297" s="213">
        <v>2052258</v>
      </c>
      <c r="F297" s="213">
        <v>1443178</v>
      </c>
      <c r="G297" s="213">
        <v>0</v>
      </c>
    </row>
    <row r="298" spans="1:7" ht="15.6" x14ac:dyDescent="0.3">
      <c r="A298" s="260">
        <v>39800</v>
      </c>
      <c r="B298" s="261" t="s">
        <v>779</v>
      </c>
      <c r="C298" s="212">
        <v>-2759079</v>
      </c>
      <c r="D298" s="212">
        <v>1085840</v>
      </c>
      <c r="E298" s="212">
        <v>5532402</v>
      </c>
      <c r="F298" s="212">
        <v>4203569</v>
      </c>
      <c r="G298" s="212">
        <v>0</v>
      </c>
    </row>
    <row r="299" spans="1:7" ht="15.6" x14ac:dyDescent="0.3">
      <c r="A299" s="260">
        <v>39805</v>
      </c>
      <c r="B299" s="261" t="s">
        <v>780</v>
      </c>
      <c r="C299" s="213">
        <v>-78716</v>
      </c>
      <c r="D299" s="213">
        <v>501541</v>
      </c>
      <c r="E299" s="213">
        <v>1058576</v>
      </c>
      <c r="F299" s="213">
        <v>839418</v>
      </c>
      <c r="G299" s="213">
        <v>0</v>
      </c>
    </row>
    <row r="300" spans="1:7" ht="15.6" x14ac:dyDescent="0.3">
      <c r="A300" s="260">
        <v>39900</v>
      </c>
      <c r="B300" s="261" t="s">
        <v>781</v>
      </c>
      <c r="C300" s="212">
        <v>342774</v>
      </c>
      <c r="D300" s="212">
        <v>2606191</v>
      </c>
      <c r="E300" s="212">
        <v>4535955</v>
      </c>
      <c r="F300" s="212">
        <v>3567624</v>
      </c>
      <c r="G300" s="212">
        <v>0</v>
      </c>
    </row>
    <row r="301" spans="1:7" ht="15.6" x14ac:dyDescent="0.3">
      <c r="A301" s="260">
        <v>40000</v>
      </c>
      <c r="B301" s="261" t="s">
        <v>782</v>
      </c>
      <c r="C301" s="213">
        <v>6924739</v>
      </c>
      <c r="D301" s="213">
        <v>8678061</v>
      </c>
      <c r="E301" s="213">
        <v>11757718</v>
      </c>
      <c r="F301" s="213">
        <v>8352931</v>
      </c>
      <c r="G301" s="213">
        <v>0</v>
      </c>
    </row>
    <row r="302" spans="1:7" ht="15.6" x14ac:dyDescent="0.3">
      <c r="A302" s="260">
        <v>51000</v>
      </c>
      <c r="B302" s="261" t="s">
        <v>783</v>
      </c>
      <c r="C302" s="212">
        <v>9616413</v>
      </c>
      <c r="D302" s="212">
        <v>20056407</v>
      </c>
      <c r="E302" s="212">
        <v>63504541</v>
      </c>
      <c r="F302" s="212">
        <v>47623331</v>
      </c>
      <c r="G302" s="212">
        <v>0</v>
      </c>
    </row>
    <row r="303" spans="1:7" ht="31.2" x14ac:dyDescent="0.3">
      <c r="A303" s="266">
        <v>51000.2</v>
      </c>
      <c r="B303" s="261" t="s">
        <v>784</v>
      </c>
      <c r="C303" s="213">
        <v>141638</v>
      </c>
      <c r="D303" s="213">
        <v>227402</v>
      </c>
      <c r="E303" s="213">
        <v>150342</v>
      </c>
      <c r="F303" s="213">
        <v>165472</v>
      </c>
      <c r="G303" s="213">
        <v>0</v>
      </c>
    </row>
    <row r="304" spans="1:7" ht="15.6" x14ac:dyDescent="0.3">
      <c r="A304" s="266">
        <v>51000.3</v>
      </c>
      <c r="B304" s="261" t="s">
        <v>785</v>
      </c>
      <c r="C304" s="212">
        <v>889466</v>
      </c>
      <c r="D304" s="212">
        <v>1202832</v>
      </c>
      <c r="E304" s="212">
        <v>1835123</v>
      </c>
      <c r="F304" s="212">
        <v>1474700</v>
      </c>
      <c r="G304" s="212">
        <v>0</v>
      </c>
    </row>
    <row r="305" spans="1:9" ht="15.6" x14ac:dyDescent="0.3">
      <c r="A305" s="260">
        <v>60000</v>
      </c>
      <c r="B305" s="261" t="s">
        <v>786</v>
      </c>
      <c r="C305" s="213">
        <v>-127701</v>
      </c>
      <c r="D305" s="213">
        <v>-36382</v>
      </c>
      <c r="E305" s="213">
        <v>96545</v>
      </c>
      <c r="F305" s="213">
        <v>55668</v>
      </c>
      <c r="G305" s="213">
        <v>0</v>
      </c>
    </row>
    <row r="306" spans="1:9" ht="15.6" x14ac:dyDescent="0.3">
      <c r="A306" s="260">
        <v>90901</v>
      </c>
      <c r="B306" s="261" t="s">
        <v>787</v>
      </c>
      <c r="C306" s="212">
        <v>-454688</v>
      </c>
      <c r="D306" s="212">
        <v>442497</v>
      </c>
      <c r="E306" s="212">
        <v>1421300</v>
      </c>
      <c r="F306" s="212">
        <v>1108684</v>
      </c>
      <c r="G306" s="212">
        <v>0</v>
      </c>
    </row>
    <row r="307" spans="1:9" ht="15.6" x14ac:dyDescent="0.3">
      <c r="A307" s="260">
        <v>91041</v>
      </c>
      <c r="B307" s="261" t="s">
        <v>788</v>
      </c>
      <c r="C307" s="213">
        <v>183005</v>
      </c>
      <c r="D307" s="213">
        <v>318319</v>
      </c>
      <c r="E307" s="213">
        <v>585568</v>
      </c>
      <c r="F307" s="213">
        <v>404208</v>
      </c>
      <c r="G307" s="213">
        <v>0</v>
      </c>
    </row>
    <row r="308" spans="1:9" ht="15.6" x14ac:dyDescent="0.3">
      <c r="A308" s="260">
        <v>91111</v>
      </c>
      <c r="B308" s="261" t="s">
        <v>789</v>
      </c>
      <c r="C308" s="212">
        <v>162093</v>
      </c>
      <c r="D308" s="212">
        <v>297505</v>
      </c>
      <c r="E308" s="212">
        <v>387817</v>
      </c>
      <c r="F308" s="212">
        <v>232583</v>
      </c>
      <c r="G308" s="212">
        <v>0</v>
      </c>
    </row>
    <row r="309" spans="1:9" ht="15.6" x14ac:dyDescent="0.3">
      <c r="A309" s="260">
        <v>91151</v>
      </c>
      <c r="B309" s="261" t="s">
        <v>790</v>
      </c>
      <c r="C309" s="213">
        <v>263656</v>
      </c>
      <c r="D309" s="213">
        <v>506655</v>
      </c>
      <c r="E309" s="213">
        <v>689106</v>
      </c>
      <c r="F309" s="213">
        <v>539358</v>
      </c>
      <c r="G309" s="213">
        <v>0</v>
      </c>
    </row>
    <row r="310" spans="1:9" ht="15.6" x14ac:dyDescent="0.3">
      <c r="A310" s="260">
        <v>98101</v>
      </c>
      <c r="B310" s="261" t="s">
        <v>791</v>
      </c>
      <c r="C310" s="212">
        <v>108032</v>
      </c>
      <c r="D310" s="212">
        <v>879457</v>
      </c>
      <c r="E310" s="212">
        <v>1917721</v>
      </c>
      <c r="F310" s="212">
        <v>1529990</v>
      </c>
      <c r="G310" s="212">
        <v>0</v>
      </c>
    </row>
    <row r="311" spans="1:9" ht="15.6" x14ac:dyDescent="0.3">
      <c r="A311" s="260">
        <v>98103</v>
      </c>
      <c r="B311" s="261" t="s">
        <v>792</v>
      </c>
      <c r="C311" s="213">
        <v>-76290</v>
      </c>
      <c r="D311" s="213">
        <v>-50060</v>
      </c>
      <c r="E311" s="213">
        <v>196920</v>
      </c>
      <c r="F311" s="213">
        <v>233102</v>
      </c>
      <c r="G311" s="213">
        <v>0</v>
      </c>
    </row>
    <row r="312" spans="1:9" ht="15.6" x14ac:dyDescent="0.3">
      <c r="A312" s="260">
        <v>98111</v>
      </c>
      <c r="B312" s="261" t="s">
        <v>793</v>
      </c>
      <c r="C312" s="212">
        <v>211456</v>
      </c>
      <c r="D312" s="212">
        <v>561603</v>
      </c>
      <c r="E312" s="212">
        <v>1122987</v>
      </c>
      <c r="F312" s="212">
        <v>857248</v>
      </c>
      <c r="G312" s="212">
        <v>0</v>
      </c>
    </row>
    <row r="313" spans="1:9" ht="15.6" x14ac:dyDescent="0.3">
      <c r="A313" s="260">
        <v>98131</v>
      </c>
      <c r="B313" s="261" t="s">
        <v>794</v>
      </c>
      <c r="C313" s="213">
        <v>151837</v>
      </c>
      <c r="D313" s="213">
        <v>195852</v>
      </c>
      <c r="E313" s="213">
        <v>335765</v>
      </c>
      <c r="F313" s="213">
        <v>226747</v>
      </c>
      <c r="G313" s="213">
        <v>0</v>
      </c>
    </row>
    <row r="314" spans="1:9" ht="15.6" x14ac:dyDescent="0.3">
      <c r="A314" s="260">
        <v>99401</v>
      </c>
      <c r="B314" s="261" t="s">
        <v>795</v>
      </c>
      <c r="C314" s="212">
        <v>-206207</v>
      </c>
      <c r="D314" s="212">
        <v>59869</v>
      </c>
      <c r="E314" s="212">
        <v>237569</v>
      </c>
      <c r="F314" s="212">
        <v>286981</v>
      </c>
      <c r="G314" s="212">
        <v>0</v>
      </c>
    </row>
    <row r="315" spans="1:9" ht="15.6" x14ac:dyDescent="0.3">
      <c r="A315" s="260">
        <v>99521</v>
      </c>
      <c r="B315" s="261" t="s">
        <v>796</v>
      </c>
      <c r="C315" s="213">
        <v>366571</v>
      </c>
      <c r="D315" s="213">
        <v>566951</v>
      </c>
      <c r="E315" s="213">
        <v>729656</v>
      </c>
      <c r="F315" s="213">
        <v>416755</v>
      </c>
      <c r="G315" s="213">
        <f t="shared" ref="G315" si="0">SUBTOTAL(109,G4:G314)</f>
        <v>0</v>
      </c>
      <c r="H315" s="6"/>
    </row>
    <row r="316" spans="1:9" ht="16.2" thickBot="1" x14ac:dyDescent="0.35">
      <c r="A316" s="262">
        <v>99831</v>
      </c>
      <c r="B316" s="263" t="s">
        <v>797</v>
      </c>
      <c r="C316" s="216">
        <v>-33365</v>
      </c>
      <c r="D316" s="216">
        <v>-27734</v>
      </c>
      <c r="E316" s="216">
        <v>54972</v>
      </c>
      <c r="F316" s="216">
        <v>17877</v>
      </c>
      <c r="G316" s="215">
        <v>0</v>
      </c>
      <c r="H316" s="215"/>
      <c r="I316" s="215"/>
    </row>
    <row r="317" spans="1:9" ht="16.2" thickBot="1" x14ac:dyDescent="0.35">
      <c r="A317" s="264"/>
      <c r="B317" s="265" t="s">
        <v>13</v>
      </c>
      <c r="C317" s="217">
        <f>SUM(C4:C316)</f>
        <v>-199445930</v>
      </c>
      <c r="D317" s="217">
        <f t="shared" ref="D317:G317" si="1">SUM(D4:D316)</f>
        <v>725342176</v>
      </c>
      <c r="E317" s="217">
        <f t="shared" si="1"/>
        <v>2051849973</v>
      </c>
      <c r="F317" s="217">
        <f t="shared" si="1"/>
        <v>1602298823</v>
      </c>
      <c r="G317" s="217">
        <f t="shared" si="1"/>
        <v>0</v>
      </c>
    </row>
  </sheetData>
  <pageMargins left="0.7" right="0.7" top="0.75" bottom="0.75" header="0.3" footer="0.3"/>
  <pageSetup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8327-B8F5-4072-AAE8-8BE6794EC5DD}">
  <dimension ref="A1:C314"/>
  <sheetViews>
    <sheetView workbookViewId="0">
      <selection activeCell="F3" sqref="F3"/>
    </sheetView>
  </sheetViews>
  <sheetFormatPr defaultRowHeight="13.2" x14ac:dyDescent="0.25"/>
  <cols>
    <col min="1" max="1" width="11.44140625" customWidth="1"/>
    <col min="2" max="2" width="59.6640625" bestFit="1" customWidth="1"/>
    <col min="3" max="3" width="11.6640625" style="6" bestFit="1" customWidth="1"/>
  </cols>
  <sheetData>
    <row r="1" spans="1:3" x14ac:dyDescent="0.25">
      <c r="A1" s="5">
        <v>1</v>
      </c>
      <c r="B1" s="5">
        <v>2</v>
      </c>
      <c r="C1" s="177">
        <v>3</v>
      </c>
    </row>
    <row r="2" spans="1:3" ht="27" thickBot="1" x14ac:dyDescent="0.3">
      <c r="A2" s="208" t="s">
        <v>163</v>
      </c>
      <c r="B2" s="209" t="s">
        <v>164</v>
      </c>
    </row>
    <row r="3" spans="1:3" ht="13.8" x14ac:dyDescent="0.25">
      <c r="A3" s="249">
        <v>10200</v>
      </c>
      <c r="B3" s="250" t="s">
        <v>245</v>
      </c>
      <c r="C3" s="245">
        <v>12694</v>
      </c>
    </row>
    <row r="4" spans="1:3" ht="13.8" x14ac:dyDescent="0.25">
      <c r="A4" s="249">
        <v>10400</v>
      </c>
      <c r="B4" s="250" t="s">
        <v>246</v>
      </c>
      <c r="C4" s="245">
        <v>31818</v>
      </c>
    </row>
    <row r="5" spans="1:3" ht="13.8" x14ac:dyDescent="0.25">
      <c r="A5" s="249">
        <v>10500</v>
      </c>
      <c r="B5" s="250" t="s">
        <v>425</v>
      </c>
      <c r="C5" s="245">
        <v>6512</v>
      </c>
    </row>
    <row r="6" spans="1:3" ht="13.8" x14ac:dyDescent="0.25">
      <c r="A6" s="249">
        <v>10700</v>
      </c>
      <c r="B6" s="250" t="s">
        <v>247</v>
      </c>
      <c r="C6" s="245">
        <v>45864</v>
      </c>
    </row>
    <row r="7" spans="1:3" ht="13.8" x14ac:dyDescent="0.25">
      <c r="A7" s="249">
        <v>10800</v>
      </c>
      <c r="B7" s="250" t="s">
        <v>248</v>
      </c>
      <c r="C7" s="245">
        <v>201275</v>
      </c>
    </row>
    <row r="8" spans="1:3" ht="13.8" x14ac:dyDescent="0.25">
      <c r="A8" s="249">
        <v>10850</v>
      </c>
      <c r="B8" s="250" t="s">
        <v>426</v>
      </c>
      <c r="C8" s="245">
        <v>1775</v>
      </c>
    </row>
    <row r="9" spans="1:3" ht="13.8" x14ac:dyDescent="0.25">
      <c r="A9" s="220">
        <v>10900</v>
      </c>
      <c r="B9" s="222" t="s">
        <v>249</v>
      </c>
      <c r="C9" s="245">
        <v>17133</v>
      </c>
    </row>
    <row r="10" spans="1:3" ht="13.8" x14ac:dyDescent="0.25">
      <c r="A10" s="220">
        <v>10910</v>
      </c>
      <c r="B10" s="223" t="s">
        <v>427</v>
      </c>
      <c r="C10" s="245">
        <v>4895</v>
      </c>
    </row>
    <row r="11" spans="1:3" ht="13.8" x14ac:dyDescent="0.25">
      <c r="A11" s="220">
        <v>10930</v>
      </c>
      <c r="B11" s="223" t="s">
        <v>428</v>
      </c>
      <c r="C11" s="245">
        <v>57243</v>
      </c>
    </row>
    <row r="12" spans="1:3" ht="13.8" x14ac:dyDescent="0.25">
      <c r="A12" s="220">
        <v>10940</v>
      </c>
      <c r="B12" s="222" t="s">
        <v>474</v>
      </c>
      <c r="C12" s="245">
        <v>7855</v>
      </c>
    </row>
    <row r="13" spans="1:3" ht="13.8" x14ac:dyDescent="0.25">
      <c r="A13" s="220">
        <v>10950</v>
      </c>
      <c r="B13" s="223" t="s">
        <v>429</v>
      </c>
      <c r="C13" s="245">
        <v>11066</v>
      </c>
    </row>
    <row r="14" spans="1:3" ht="13.8" x14ac:dyDescent="0.25">
      <c r="A14" s="220">
        <v>11050</v>
      </c>
      <c r="B14" s="223" t="s">
        <v>430</v>
      </c>
      <c r="C14" s="245">
        <v>2134</v>
      </c>
    </row>
    <row r="15" spans="1:3" ht="13.8" x14ac:dyDescent="0.25">
      <c r="A15" s="249">
        <v>11300</v>
      </c>
      <c r="B15" s="250" t="s">
        <v>431</v>
      </c>
      <c r="C15" s="245">
        <v>44163</v>
      </c>
    </row>
    <row r="16" spans="1:3" ht="13.8" x14ac:dyDescent="0.25">
      <c r="A16" s="249">
        <v>11310</v>
      </c>
      <c r="B16" s="250" t="s">
        <v>432</v>
      </c>
      <c r="C16" s="245">
        <v>5306</v>
      </c>
    </row>
    <row r="17" spans="1:3" ht="13.8" x14ac:dyDescent="0.25">
      <c r="A17" s="249">
        <v>11600</v>
      </c>
      <c r="B17" s="250" t="s">
        <v>250</v>
      </c>
      <c r="C17" s="245">
        <v>24124</v>
      </c>
    </row>
    <row r="18" spans="1:3" ht="13.8" x14ac:dyDescent="0.25">
      <c r="A18" s="249">
        <v>11900</v>
      </c>
      <c r="B18" s="250" t="s">
        <v>251</v>
      </c>
      <c r="C18" s="245">
        <v>3152</v>
      </c>
    </row>
    <row r="19" spans="1:3" ht="13.8" x14ac:dyDescent="0.25">
      <c r="A19" s="249">
        <v>12100</v>
      </c>
      <c r="B19" s="250" t="s">
        <v>433</v>
      </c>
      <c r="C19" s="245">
        <v>2831</v>
      </c>
    </row>
    <row r="20" spans="1:3" ht="13.8" x14ac:dyDescent="0.25">
      <c r="A20" s="249">
        <v>12150</v>
      </c>
      <c r="B20" s="250" t="s">
        <v>434</v>
      </c>
      <c r="C20" s="245">
        <v>125</v>
      </c>
    </row>
    <row r="21" spans="1:3" ht="13.8" x14ac:dyDescent="0.25">
      <c r="A21" s="220">
        <v>12160</v>
      </c>
      <c r="B21" s="222" t="s">
        <v>252</v>
      </c>
      <c r="C21" s="245">
        <v>18148</v>
      </c>
    </row>
    <row r="22" spans="1:3" ht="13.8" x14ac:dyDescent="0.25">
      <c r="A22" s="220">
        <v>12220</v>
      </c>
      <c r="B22" s="223" t="s">
        <v>435</v>
      </c>
      <c r="C22" s="245">
        <v>411218</v>
      </c>
    </row>
    <row r="23" spans="1:3" ht="13.8" x14ac:dyDescent="0.25">
      <c r="A23" s="220">
        <v>12510</v>
      </c>
      <c r="B23" s="222" t="s">
        <v>253</v>
      </c>
      <c r="C23" s="245">
        <v>39790</v>
      </c>
    </row>
    <row r="24" spans="1:3" ht="13.8" x14ac:dyDescent="0.25">
      <c r="A24" s="220">
        <v>12600</v>
      </c>
      <c r="B24" s="223" t="s">
        <v>436</v>
      </c>
      <c r="C24" s="245">
        <v>17371</v>
      </c>
    </row>
    <row r="25" spans="1:3" ht="13.8" x14ac:dyDescent="0.25">
      <c r="A25" s="220">
        <v>12700</v>
      </c>
      <c r="B25" s="223" t="s">
        <v>437</v>
      </c>
      <c r="C25" s="245">
        <v>9577</v>
      </c>
    </row>
    <row r="26" spans="1:3" ht="13.8" x14ac:dyDescent="0.25">
      <c r="A26" s="220">
        <v>13500</v>
      </c>
      <c r="B26" s="223" t="s">
        <v>438</v>
      </c>
      <c r="C26" s="245">
        <v>41350</v>
      </c>
    </row>
    <row r="27" spans="1:3" ht="13.8" x14ac:dyDescent="0.25">
      <c r="A27" s="249">
        <v>13700</v>
      </c>
      <c r="B27" s="250" t="s">
        <v>439</v>
      </c>
      <c r="C27" s="245">
        <v>4962</v>
      </c>
    </row>
    <row r="28" spans="1:3" ht="13.8" x14ac:dyDescent="0.25">
      <c r="A28" s="251">
        <v>14300</v>
      </c>
      <c r="B28" s="250" t="s">
        <v>798</v>
      </c>
      <c r="C28" s="245">
        <v>14501</v>
      </c>
    </row>
    <row r="29" spans="1:3" ht="13.8" x14ac:dyDescent="0.25">
      <c r="A29" s="251">
        <v>14300.2</v>
      </c>
      <c r="B29" s="250" t="s">
        <v>440</v>
      </c>
      <c r="C29" s="245">
        <v>1625</v>
      </c>
    </row>
    <row r="30" spans="1:3" ht="13.8" x14ac:dyDescent="0.25">
      <c r="A30" s="249">
        <v>18400</v>
      </c>
      <c r="B30" s="250" t="s">
        <v>441</v>
      </c>
      <c r="C30" s="245">
        <v>48419</v>
      </c>
    </row>
    <row r="31" spans="1:3" ht="13.8" x14ac:dyDescent="0.25">
      <c r="A31" s="249">
        <v>18600</v>
      </c>
      <c r="B31" s="250" t="s">
        <v>442</v>
      </c>
      <c r="C31" s="245">
        <v>93</v>
      </c>
    </row>
    <row r="32" spans="1:3" ht="13.8" x14ac:dyDescent="0.25">
      <c r="A32" s="249">
        <v>18640</v>
      </c>
      <c r="B32" s="250" t="s">
        <v>241</v>
      </c>
      <c r="C32" s="245">
        <v>22</v>
      </c>
    </row>
    <row r="33" spans="1:3" ht="13.8" x14ac:dyDescent="0.25">
      <c r="A33" s="220">
        <v>18780</v>
      </c>
      <c r="B33" s="223" t="s">
        <v>444</v>
      </c>
      <c r="C33" s="245">
        <v>262</v>
      </c>
    </row>
    <row r="34" spans="1:3" ht="13.8" x14ac:dyDescent="0.25">
      <c r="A34" s="220">
        <v>19005</v>
      </c>
      <c r="B34" s="223" t="s">
        <v>445</v>
      </c>
      <c r="C34" s="245">
        <v>9481</v>
      </c>
    </row>
    <row r="35" spans="1:3" ht="13.8" x14ac:dyDescent="0.25">
      <c r="A35" s="220">
        <v>19100</v>
      </c>
      <c r="B35" s="222" t="s">
        <v>254</v>
      </c>
      <c r="C35" s="245">
        <v>186327</v>
      </c>
    </row>
    <row r="36" spans="1:3" ht="13.8" x14ac:dyDescent="0.25">
      <c r="A36" s="220">
        <v>19120</v>
      </c>
      <c r="B36" s="223" t="s">
        <v>809</v>
      </c>
      <c r="C36" s="245">
        <v>469025</v>
      </c>
    </row>
    <row r="37" spans="1:3" ht="13.8" x14ac:dyDescent="0.25">
      <c r="A37" s="220">
        <v>20100</v>
      </c>
      <c r="B37" s="222" t="s">
        <v>37</v>
      </c>
      <c r="C37" s="245">
        <v>113568</v>
      </c>
    </row>
    <row r="38" spans="1:3" ht="13.8" x14ac:dyDescent="0.25">
      <c r="A38" s="220">
        <v>20200</v>
      </c>
      <c r="B38" s="223" t="s">
        <v>446</v>
      </c>
      <c r="C38" s="245">
        <v>15327</v>
      </c>
    </row>
    <row r="39" spans="1:3" ht="13.8" x14ac:dyDescent="0.25">
      <c r="A39" s="249">
        <v>20300</v>
      </c>
      <c r="B39" s="250" t="s">
        <v>39</v>
      </c>
      <c r="C39" s="245">
        <v>230263</v>
      </c>
    </row>
    <row r="40" spans="1:3" ht="13.8" x14ac:dyDescent="0.25">
      <c r="A40" s="249">
        <v>20400</v>
      </c>
      <c r="B40" s="250" t="s">
        <v>40</v>
      </c>
      <c r="C40" s="245">
        <v>13074</v>
      </c>
    </row>
    <row r="41" spans="1:3" ht="13.8" x14ac:dyDescent="0.25">
      <c r="A41" s="249">
        <v>20600</v>
      </c>
      <c r="B41" s="250" t="s">
        <v>41</v>
      </c>
      <c r="C41" s="245">
        <v>27511</v>
      </c>
    </row>
    <row r="42" spans="1:3" ht="13.8" x14ac:dyDescent="0.25">
      <c r="A42" s="249">
        <v>20700</v>
      </c>
      <c r="B42" s="250" t="s">
        <v>447</v>
      </c>
      <c r="C42" s="245">
        <v>58847</v>
      </c>
    </row>
    <row r="43" spans="1:3" ht="13.8" x14ac:dyDescent="0.25">
      <c r="A43" s="249">
        <v>20800</v>
      </c>
      <c r="B43" s="250" t="s">
        <v>448</v>
      </c>
      <c r="C43" s="245">
        <v>39551</v>
      </c>
    </row>
    <row r="44" spans="1:3" ht="13.8" x14ac:dyDescent="0.25">
      <c r="A44" s="249">
        <v>20900</v>
      </c>
      <c r="B44" s="250" t="s">
        <v>44</v>
      </c>
      <c r="C44" s="245">
        <v>95491</v>
      </c>
    </row>
    <row r="45" spans="1:3" ht="13.8" x14ac:dyDescent="0.25">
      <c r="A45" s="220">
        <v>21200</v>
      </c>
      <c r="B45" s="223" t="s">
        <v>449</v>
      </c>
      <c r="C45" s="245">
        <v>30392</v>
      </c>
    </row>
    <row r="46" spans="1:3" ht="13.8" x14ac:dyDescent="0.25">
      <c r="A46" s="220">
        <v>21300</v>
      </c>
      <c r="B46" s="223" t="s">
        <v>450</v>
      </c>
      <c r="C46" s="245">
        <v>399276</v>
      </c>
    </row>
    <row r="47" spans="1:3" ht="13.8" x14ac:dyDescent="0.25">
      <c r="A47" s="220">
        <v>21520</v>
      </c>
      <c r="B47" s="223" t="s">
        <v>475</v>
      </c>
      <c r="C47" s="245">
        <v>770189</v>
      </c>
    </row>
    <row r="48" spans="1:3" ht="13.8" x14ac:dyDescent="0.25">
      <c r="A48" s="252">
        <v>21525</v>
      </c>
      <c r="B48" s="223" t="s">
        <v>810</v>
      </c>
      <c r="C48" s="245">
        <v>19858</v>
      </c>
    </row>
    <row r="49" spans="1:3" ht="13.8" x14ac:dyDescent="0.25">
      <c r="A49" s="252">
        <v>21525.200000000001</v>
      </c>
      <c r="B49" s="223" t="s">
        <v>811</v>
      </c>
      <c r="C49" s="245">
        <v>2169</v>
      </c>
    </row>
    <row r="50" spans="1:3" ht="13.8" x14ac:dyDescent="0.25">
      <c r="A50" s="220">
        <v>21550</v>
      </c>
      <c r="B50" s="222" t="s">
        <v>48</v>
      </c>
      <c r="C50" s="245">
        <v>446845</v>
      </c>
    </row>
    <row r="51" spans="1:3" ht="13.8" x14ac:dyDescent="0.25">
      <c r="A51" s="249">
        <v>21570</v>
      </c>
      <c r="B51" s="250" t="s">
        <v>255</v>
      </c>
      <c r="C51" s="245">
        <v>1770</v>
      </c>
    </row>
    <row r="52" spans="1:3" ht="13.8" x14ac:dyDescent="0.25">
      <c r="A52" s="249">
        <v>21800</v>
      </c>
      <c r="B52" s="250" t="s">
        <v>49</v>
      </c>
      <c r="C52" s="245">
        <v>57835</v>
      </c>
    </row>
    <row r="53" spans="1:3" ht="13.8" x14ac:dyDescent="0.25">
      <c r="A53" s="249">
        <v>21900</v>
      </c>
      <c r="B53" s="250" t="s">
        <v>50</v>
      </c>
      <c r="C53" s="245">
        <v>25573</v>
      </c>
    </row>
    <row r="54" spans="1:3" ht="13.8" x14ac:dyDescent="0.25">
      <c r="A54" s="249">
        <v>22000</v>
      </c>
      <c r="B54" s="250" t="s">
        <v>256</v>
      </c>
      <c r="C54" s="245">
        <v>38918</v>
      </c>
    </row>
    <row r="55" spans="1:3" ht="13.8" x14ac:dyDescent="0.25">
      <c r="A55" s="249">
        <v>23000</v>
      </c>
      <c r="B55" s="250" t="s">
        <v>51</v>
      </c>
      <c r="C55" s="245">
        <v>23142</v>
      </c>
    </row>
    <row r="56" spans="1:3" ht="13.8" x14ac:dyDescent="0.25">
      <c r="A56" s="249">
        <v>23100</v>
      </c>
      <c r="B56" s="250" t="s">
        <v>52</v>
      </c>
      <c r="C56" s="245">
        <v>158399</v>
      </c>
    </row>
    <row r="57" spans="1:3" ht="13.8" x14ac:dyDescent="0.25">
      <c r="A57" s="249">
        <v>23200</v>
      </c>
      <c r="B57" s="250" t="s">
        <v>53</v>
      </c>
      <c r="C57" s="245">
        <v>91278</v>
      </c>
    </row>
    <row r="58" spans="1:3" ht="13.8" x14ac:dyDescent="0.25">
      <c r="A58" s="249">
        <v>30000</v>
      </c>
      <c r="B58" s="250" t="s">
        <v>257</v>
      </c>
      <c r="C58" s="245">
        <v>8234</v>
      </c>
    </row>
    <row r="59" spans="1:3" ht="13.8" x14ac:dyDescent="0.25">
      <c r="A59" s="249">
        <v>30100</v>
      </c>
      <c r="B59" s="250" t="s">
        <v>258</v>
      </c>
      <c r="C59" s="245">
        <v>75659</v>
      </c>
    </row>
    <row r="60" spans="1:3" ht="13.8" x14ac:dyDescent="0.25">
      <c r="A60" s="249">
        <v>30102</v>
      </c>
      <c r="B60" s="250" t="s">
        <v>259</v>
      </c>
      <c r="C60" s="245">
        <v>2519</v>
      </c>
    </row>
    <row r="61" spans="1:3" ht="13.8" x14ac:dyDescent="0.25">
      <c r="A61" s="249">
        <v>30103</v>
      </c>
      <c r="B61" s="250" t="s">
        <v>260</v>
      </c>
      <c r="C61" s="245">
        <v>2340</v>
      </c>
    </row>
    <row r="62" spans="1:3" ht="13.8" x14ac:dyDescent="0.25">
      <c r="A62" s="249">
        <v>30104</v>
      </c>
      <c r="B62" s="250" t="s">
        <v>261</v>
      </c>
      <c r="C62" s="245">
        <v>1513</v>
      </c>
    </row>
    <row r="63" spans="1:3" ht="13.8" x14ac:dyDescent="0.25">
      <c r="A63" s="220">
        <v>30105</v>
      </c>
      <c r="B63" s="222" t="s">
        <v>54</v>
      </c>
      <c r="C63" s="245">
        <v>7484</v>
      </c>
    </row>
    <row r="64" spans="1:3" ht="13.8" x14ac:dyDescent="0.25">
      <c r="A64" s="220">
        <v>30200</v>
      </c>
      <c r="B64" s="222" t="s">
        <v>262</v>
      </c>
      <c r="C64" s="245">
        <v>18020</v>
      </c>
    </row>
    <row r="65" spans="1:3" ht="13.8" x14ac:dyDescent="0.25">
      <c r="A65" s="220">
        <v>30300</v>
      </c>
      <c r="B65" s="222" t="s">
        <v>263</v>
      </c>
      <c r="C65" s="245">
        <v>5709</v>
      </c>
    </row>
    <row r="66" spans="1:3" ht="13.8" x14ac:dyDescent="0.25">
      <c r="A66" s="220">
        <v>30400</v>
      </c>
      <c r="B66" s="222" t="s">
        <v>264</v>
      </c>
      <c r="C66" s="245">
        <v>11335</v>
      </c>
    </row>
    <row r="67" spans="1:3" ht="13.8" x14ac:dyDescent="0.25">
      <c r="A67" s="220">
        <v>30405</v>
      </c>
      <c r="B67" s="222" t="s">
        <v>55</v>
      </c>
      <c r="C67" s="245">
        <v>6273</v>
      </c>
    </row>
    <row r="68" spans="1:3" ht="13.8" x14ac:dyDescent="0.25">
      <c r="A68" s="220">
        <v>30500</v>
      </c>
      <c r="B68" s="222" t="s">
        <v>265</v>
      </c>
      <c r="C68" s="245">
        <v>11137</v>
      </c>
    </row>
    <row r="69" spans="1:3" ht="13.8" x14ac:dyDescent="0.25">
      <c r="A69" s="249">
        <v>30600</v>
      </c>
      <c r="B69" s="250" t="s">
        <v>266</v>
      </c>
      <c r="C69" s="245">
        <v>8453</v>
      </c>
    </row>
    <row r="70" spans="1:3" ht="13.8" x14ac:dyDescent="0.25">
      <c r="A70" s="249">
        <v>30700</v>
      </c>
      <c r="B70" s="250" t="s">
        <v>268</v>
      </c>
      <c r="C70" s="245">
        <v>21627</v>
      </c>
    </row>
    <row r="71" spans="1:3" ht="13.8" x14ac:dyDescent="0.25">
      <c r="A71" s="249">
        <v>30705</v>
      </c>
      <c r="B71" s="250" t="s">
        <v>56</v>
      </c>
      <c r="C71" s="245">
        <v>4541</v>
      </c>
    </row>
    <row r="72" spans="1:3" ht="13.8" x14ac:dyDescent="0.25">
      <c r="A72" s="249">
        <v>30800</v>
      </c>
      <c r="B72" s="250" t="s">
        <v>269</v>
      </c>
      <c r="C72" s="245">
        <v>6090</v>
      </c>
    </row>
    <row r="73" spans="1:3" ht="13.8" x14ac:dyDescent="0.25">
      <c r="A73" s="249">
        <v>30900</v>
      </c>
      <c r="B73" s="250" t="s">
        <v>270</v>
      </c>
      <c r="C73" s="245">
        <v>15511</v>
      </c>
    </row>
    <row r="74" spans="1:3" ht="13.8" x14ac:dyDescent="0.25">
      <c r="A74" s="249">
        <v>30905</v>
      </c>
      <c r="B74" s="250" t="s">
        <v>57</v>
      </c>
      <c r="C74" s="245">
        <v>2464</v>
      </c>
    </row>
    <row r="75" spans="1:3" ht="13.8" x14ac:dyDescent="0.25">
      <c r="A75" s="220">
        <v>31000</v>
      </c>
      <c r="B75" s="222" t="s">
        <v>271</v>
      </c>
      <c r="C75" s="245">
        <v>44854</v>
      </c>
    </row>
    <row r="76" spans="1:3" ht="13.8" x14ac:dyDescent="0.25">
      <c r="A76" s="220">
        <v>31005</v>
      </c>
      <c r="B76" s="222" t="s">
        <v>58</v>
      </c>
      <c r="C76" s="245">
        <v>4152</v>
      </c>
    </row>
    <row r="77" spans="1:3" ht="13.8" x14ac:dyDescent="0.25">
      <c r="A77" s="220">
        <v>31100</v>
      </c>
      <c r="B77" s="222" t="s">
        <v>272</v>
      </c>
      <c r="C77" s="245">
        <v>88607</v>
      </c>
    </row>
    <row r="78" spans="1:3" ht="13.8" x14ac:dyDescent="0.25">
      <c r="A78" s="220">
        <v>31101</v>
      </c>
      <c r="B78" s="223" t="s">
        <v>451</v>
      </c>
      <c r="C78" s="245">
        <v>649</v>
      </c>
    </row>
    <row r="79" spans="1:3" ht="13.8" x14ac:dyDescent="0.25">
      <c r="A79" s="220">
        <v>31102</v>
      </c>
      <c r="B79" s="222" t="s">
        <v>273</v>
      </c>
      <c r="C79" s="245">
        <v>1653</v>
      </c>
    </row>
    <row r="80" spans="1:3" ht="13.8" x14ac:dyDescent="0.25">
      <c r="A80" s="220">
        <v>31105</v>
      </c>
      <c r="B80" s="222" t="s">
        <v>59</v>
      </c>
      <c r="C80" s="245">
        <v>13157</v>
      </c>
    </row>
    <row r="81" spans="1:3" ht="13.8" x14ac:dyDescent="0.25">
      <c r="A81" s="249">
        <v>31110</v>
      </c>
      <c r="B81" s="250" t="s">
        <v>274</v>
      </c>
      <c r="C81" s="245">
        <v>19843</v>
      </c>
    </row>
    <row r="82" spans="1:3" ht="13.8" x14ac:dyDescent="0.25">
      <c r="A82" s="249">
        <v>31200</v>
      </c>
      <c r="B82" s="250" t="s">
        <v>275</v>
      </c>
      <c r="C82" s="245">
        <v>39270</v>
      </c>
    </row>
    <row r="83" spans="1:3" ht="13.8" x14ac:dyDescent="0.25">
      <c r="A83" s="249">
        <v>31205</v>
      </c>
      <c r="B83" s="250" t="s">
        <v>452</v>
      </c>
      <c r="C83" s="245">
        <v>4143</v>
      </c>
    </row>
    <row r="84" spans="1:3" ht="13.8" x14ac:dyDescent="0.25">
      <c r="A84" s="249">
        <v>31300</v>
      </c>
      <c r="B84" s="250" t="s">
        <v>276</v>
      </c>
      <c r="C84" s="245">
        <v>118202</v>
      </c>
    </row>
    <row r="85" spans="1:3" ht="13.8" x14ac:dyDescent="0.25">
      <c r="A85" s="249">
        <v>31301</v>
      </c>
      <c r="B85" s="250" t="s">
        <v>277</v>
      </c>
      <c r="C85" s="245">
        <v>1513</v>
      </c>
    </row>
    <row r="86" spans="1:3" ht="13.8" x14ac:dyDescent="0.25">
      <c r="A86" s="249">
        <v>31320</v>
      </c>
      <c r="B86" s="250" t="s">
        <v>278</v>
      </c>
      <c r="C86" s="245">
        <v>18958</v>
      </c>
    </row>
    <row r="87" spans="1:3" ht="13.8" x14ac:dyDescent="0.25">
      <c r="A87" s="220">
        <v>31400</v>
      </c>
      <c r="B87" s="222" t="s">
        <v>279</v>
      </c>
      <c r="C87" s="245">
        <v>38599</v>
      </c>
    </row>
    <row r="88" spans="1:3" ht="13.8" x14ac:dyDescent="0.25">
      <c r="A88" s="220">
        <v>31405</v>
      </c>
      <c r="B88" s="222" t="s">
        <v>61</v>
      </c>
      <c r="C88" s="245">
        <v>8397</v>
      </c>
    </row>
    <row r="89" spans="1:3" ht="13.8" x14ac:dyDescent="0.25">
      <c r="A89" s="220">
        <v>31500</v>
      </c>
      <c r="B89" s="222" t="s">
        <v>280</v>
      </c>
      <c r="C89" s="245">
        <v>7675</v>
      </c>
    </row>
    <row r="90" spans="1:3" ht="13.8" x14ac:dyDescent="0.25">
      <c r="A90" s="220">
        <v>31600</v>
      </c>
      <c r="B90" s="222" t="s">
        <v>281</v>
      </c>
      <c r="C90" s="245">
        <v>30241</v>
      </c>
    </row>
    <row r="91" spans="1:3" ht="13.8" x14ac:dyDescent="0.25">
      <c r="A91" s="220">
        <v>31605</v>
      </c>
      <c r="B91" s="222" t="s">
        <v>62</v>
      </c>
      <c r="C91" s="245">
        <v>4511</v>
      </c>
    </row>
    <row r="92" spans="1:3" ht="13.8" x14ac:dyDescent="0.25">
      <c r="A92" s="220">
        <v>31700</v>
      </c>
      <c r="B92" s="222" t="s">
        <v>282</v>
      </c>
      <c r="C92" s="245">
        <v>7130</v>
      </c>
    </row>
    <row r="93" spans="1:3" ht="13.8" x14ac:dyDescent="0.25">
      <c r="A93" s="249">
        <v>31800</v>
      </c>
      <c r="B93" s="250" t="s">
        <v>283</v>
      </c>
      <c r="C93" s="245">
        <v>54992</v>
      </c>
    </row>
    <row r="94" spans="1:3" ht="13.8" x14ac:dyDescent="0.25">
      <c r="A94" s="249">
        <v>31805</v>
      </c>
      <c r="B94" s="250" t="s">
        <v>63</v>
      </c>
      <c r="C94" s="245">
        <v>10463</v>
      </c>
    </row>
    <row r="95" spans="1:3" ht="13.8" x14ac:dyDescent="0.25">
      <c r="A95" s="249">
        <v>31810</v>
      </c>
      <c r="B95" s="250" t="s">
        <v>284</v>
      </c>
      <c r="C95" s="245">
        <v>11853</v>
      </c>
    </row>
    <row r="96" spans="1:3" ht="13.8" x14ac:dyDescent="0.25">
      <c r="A96" s="249">
        <v>31820</v>
      </c>
      <c r="B96" s="250" t="s">
        <v>285</v>
      </c>
      <c r="C96" s="245">
        <v>10050</v>
      </c>
    </row>
    <row r="97" spans="1:3" ht="13.8" x14ac:dyDescent="0.25">
      <c r="A97" s="249">
        <v>31900</v>
      </c>
      <c r="B97" s="250" t="s">
        <v>286</v>
      </c>
      <c r="C97" s="245">
        <v>33000</v>
      </c>
    </row>
    <row r="98" spans="1:3" ht="13.8" x14ac:dyDescent="0.25">
      <c r="A98" s="249">
        <v>32000</v>
      </c>
      <c r="B98" s="250" t="s">
        <v>287</v>
      </c>
      <c r="C98" s="245">
        <v>12010</v>
      </c>
    </row>
    <row r="99" spans="1:3" ht="13.8" x14ac:dyDescent="0.25">
      <c r="A99" s="220">
        <v>32005</v>
      </c>
      <c r="B99" s="222" t="s">
        <v>64</v>
      </c>
      <c r="C99" s="245">
        <v>3419</v>
      </c>
    </row>
    <row r="100" spans="1:3" ht="13.8" x14ac:dyDescent="0.25">
      <c r="A100" s="220">
        <v>32100</v>
      </c>
      <c r="B100" s="222" t="s">
        <v>288</v>
      </c>
      <c r="C100" s="245">
        <v>6800</v>
      </c>
    </row>
    <row r="101" spans="1:3" ht="13.8" x14ac:dyDescent="0.25">
      <c r="A101" s="220">
        <v>32200</v>
      </c>
      <c r="B101" s="222" t="s">
        <v>289</v>
      </c>
      <c r="C101" s="245">
        <v>5519</v>
      </c>
    </row>
    <row r="102" spans="1:3" ht="13.8" x14ac:dyDescent="0.25">
      <c r="A102" s="220">
        <v>32300</v>
      </c>
      <c r="B102" s="222" t="s">
        <v>290</v>
      </c>
      <c r="C102" s="245">
        <v>52334</v>
      </c>
    </row>
    <row r="103" spans="1:3" ht="13.8" x14ac:dyDescent="0.25">
      <c r="A103" s="220">
        <v>32305</v>
      </c>
      <c r="B103" s="222" t="s">
        <v>480</v>
      </c>
      <c r="C103" s="245">
        <v>6418</v>
      </c>
    </row>
    <row r="104" spans="1:3" ht="13.8" x14ac:dyDescent="0.25">
      <c r="A104" s="220">
        <v>32400</v>
      </c>
      <c r="B104" s="222" t="s">
        <v>291</v>
      </c>
      <c r="C104" s="245">
        <v>18509</v>
      </c>
    </row>
    <row r="105" spans="1:3" ht="13.8" x14ac:dyDescent="0.25">
      <c r="A105" s="249">
        <v>32405</v>
      </c>
      <c r="B105" s="250" t="s">
        <v>66</v>
      </c>
      <c r="C105" s="245">
        <v>4397</v>
      </c>
    </row>
    <row r="106" spans="1:3" ht="13.8" x14ac:dyDescent="0.25">
      <c r="A106" s="249">
        <v>32410</v>
      </c>
      <c r="B106" s="250" t="s">
        <v>292</v>
      </c>
      <c r="C106" s="245">
        <v>8079</v>
      </c>
    </row>
    <row r="107" spans="1:3" ht="13.8" x14ac:dyDescent="0.25">
      <c r="A107" s="249">
        <v>32500</v>
      </c>
      <c r="B107" s="250" t="s">
        <v>481</v>
      </c>
      <c r="C107" s="245">
        <v>40046</v>
      </c>
    </row>
    <row r="108" spans="1:3" ht="13.8" x14ac:dyDescent="0.25">
      <c r="A108" s="249">
        <v>32505</v>
      </c>
      <c r="B108" s="250" t="s">
        <v>67</v>
      </c>
      <c r="C108" s="245">
        <v>6897</v>
      </c>
    </row>
    <row r="109" spans="1:3" ht="13.8" x14ac:dyDescent="0.25">
      <c r="A109" s="249">
        <v>32600</v>
      </c>
      <c r="B109" s="250" t="s">
        <v>293</v>
      </c>
      <c r="C109" s="245">
        <v>146356</v>
      </c>
    </row>
    <row r="110" spans="1:3" ht="13.8" x14ac:dyDescent="0.25">
      <c r="A110" s="249">
        <v>32605</v>
      </c>
      <c r="B110" s="250" t="s">
        <v>68</v>
      </c>
      <c r="C110" s="245">
        <v>27071</v>
      </c>
    </row>
    <row r="111" spans="1:3" ht="13.8" x14ac:dyDescent="0.25">
      <c r="A111" s="249">
        <v>32700</v>
      </c>
      <c r="B111" s="250" t="s">
        <v>294</v>
      </c>
      <c r="C111" s="245">
        <v>14511</v>
      </c>
    </row>
    <row r="112" spans="1:3" ht="13.8" x14ac:dyDescent="0.25">
      <c r="A112" s="249">
        <v>32800</v>
      </c>
      <c r="B112" s="250" t="s">
        <v>295</v>
      </c>
      <c r="C112" s="245">
        <v>19821</v>
      </c>
    </row>
    <row r="113" spans="1:3" ht="13.8" x14ac:dyDescent="0.25">
      <c r="A113" s="249">
        <v>32900</v>
      </c>
      <c r="B113" s="250" t="s">
        <v>296</v>
      </c>
      <c r="C113" s="245">
        <v>57558</v>
      </c>
    </row>
    <row r="114" spans="1:3" ht="13.8" x14ac:dyDescent="0.25">
      <c r="A114" s="249">
        <v>32901</v>
      </c>
      <c r="B114" s="250" t="s">
        <v>422</v>
      </c>
      <c r="C114" s="245">
        <v>200</v>
      </c>
    </row>
    <row r="115" spans="1:3" ht="13.8" x14ac:dyDescent="0.25">
      <c r="A115" s="249">
        <v>32904</v>
      </c>
      <c r="B115" s="250" t="s">
        <v>465</v>
      </c>
      <c r="C115" s="245">
        <v>959</v>
      </c>
    </row>
    <row r="116" spans="1:3" ht="13.8" x14ac:dyDescent="0.25">
      <c r="A116" s="249">
        <v>32905</v>
      </c>
      <c r="B116" s="250" t="s">
        <v>69</v>
      </c>
      <c r="C116" s="245">
        <v>8146</v>
      </c>
    </row>
    <row r="117" spans="1:3" ht="13.8" x14ac:dyDescent="0.25">
      <c r="A117" s="220">
        <v>32910</v>
      </c>
      <c r="B117" s="222" t="s">
        <v>297</v>
      </c>
      <c r="C117" s="245">
        <v>9293</v>
      </c>
    </row>
    <row r="118" spans="1:3" ht="13.8" x14ac:dyDescent="0.25">
      <c r="A118" s="220">
        <v>32915</v>
      </c>
      <c r="B118" s="223" t="s">
        <v>799</v>
      </c>
      <c r="C118" s="245">
        <v>1426</v>
      </c>
    </row>
    <row r="119" spans="1:3" ht="13.8" x14ac:dyDescent="0.25">
      <c r="A119" s="220">
        <v>32920</v>
      </c>
      <c r="B119" s="222" t="s">
        <v>298</v>
      </c>
      <c r="C119" s="245">
        <v>7365</v>
      </c>
    </row>
    <row r="120" spans="1:3" ht="13.8" x14ac:dyDescent="0.25">
      <c r="A120" s="220">
        <v>33000</v>
      </c>
      <c r="B120" s="222" t="s">
        <v>299</v>
      </c>
      <c r="C120" s="245">
        <v>22177</v>
      </c>
    </row>
    <row r="121" spans="1:3" ht="13.8" x14ac:dyDescent="0.25">
      <c r="A121" s="220">
        <v>33001</v>
      </c>
      <c r="B121" s="223" t="s">
        <v>453</v>
      </c>
      <c r="C121" s="245">
        <v>269</v>
      </c>
    </row>
    <row r="122" spans="1:3" ht="13.8" x14ac:dyDescent="0.25">
      <c r="A122" s="220">
        <v>33027</v>
      </c>
      <c r="B122" s="223" t="s">
        <v>300</v>
      </c>
      <c r="C122" s="245">
        <v>4140</v>
      </c>
    </row>
    <row r="123" spans="1:3" ht="13.8" x14ac:dyDescent="0.25">
      <c r="A123" s="249">
        <v>33100</v>
      </c>
      <c r="B123" s="250" t="s">
        <v>301</v>
      </c>
      <c r="C123" s="245">
        <v>29365</v>
      </c>
    </row>
    <row r="124" spans="1:3" ht="13.8" x14ac:dyDescent="0.25">
      <c r="A124" s="249">
        <v>33105</v>
      </c>
      <c r="B124" s="250" t="s">
        <v>70</v>
      </c>
      <c r="C124" s="245">
        <v>3629</v>
      </c>
    </row>
    <row r="125" spans="1:3" ht="13.8" x14ac:dyDescent="0.25">
      <c r="A125" s="249">
        <v>33200</v>
      </c>
      <c r="B125" s="250" t="s">
        <v>302</v>
      </c>
      <c r="C125" s="245">
        <v>136373</v>
      </c>
    </row>
    <row r="126" spans="1:3" ht="13.8" x14ac:dyDescent="0.25">
      <c r="A126" s="249">
        <v>33202</v>
      </c>
      <c r="B126" s="250" t="s">
        <v>454</v>
      </c>
      <c r="C126" s="245">
        <v>2789</v>
      </c>
    </row>
    <row r="127" spans="1:3" ht="13.8" x14ac:dyDescent="0.25">
      <c r="A127" s="249">
        <v>33203</v>
      </c>
      <c r="B127" s="250" t="s">
        <v>303</v>
      </c>
      <c r="C127" s="245">
        <v>1923</v>
      </c>
    </row>
    <row r="128" spans="1:3" ht="13.8" x14ac:dyDescent="0.25">
      <c r="A128" s="249">
        <v>33204</v>
      </c>
      <c r="B128" s="250" t="s">
        <v>304</v>
      </c>
      <c r="C128" s="245">
        <v>4665</v>
      </c>
    </row>
    <row r="129" spans="1:3" ht="13.8" x14ac:dyDescent="0.25">
      <c r="A129" s="220">
        <v>33205</v>
      </c>
      <c r="B129" s="222" t="s">
        <v>71</v>
      </c>
      <c r="C129" s="245">
        <v>12237</v>
      </c>
    </row>
    <row r="130" spans="1:3" ht="13.8" x14ac:dyDescent="0.25">
      <c r="A130" s="220">
        <v>33206</v>
      </c>
      <c r="B130" s="222" t="s">
        <v>305</v>
      </c>
      <c r="C130" s="245">
        <v>1394</v>
      </c>
    </row>
    <row r="131" spans="1:3" ht="13.8" x14ac:dyDescent="0.25">
      <c r="A131" s="220">
        <v>33207</v>
      </c>
      <c r="B131" s="222" t="s">
        <v>306</v>
      </c>
      <c r="C131" s="245">
        <v>4742</v>
      </c>
    </row>
    <row r="132" spans="1:3" ht="13.8" x14ac:dyDescent="0.25">
      <c r="A132" s="220">
        <v>33300</v>
      </c>
      <c r="B132" s="222" t="s">
        <v>308</v>
      </c>
      <c r="C132" s="245">
        <v>18704</v>
      </c>
    </row>
    <row r="133" spans="1:3" ht="13.8" x14ac:dyDescent="0.25">
      <c r="A133" s="220">
        <v>33305</v>
      </c>
      <c r="B133" s="222" t="s">
        <v>72</v>
      </c>
      <c r="C133" s="245">
        <v>4099</v>
      </c>
    </row>
    <row r="134" spans="1:3" ht="13.8" x14ac:dyDescent="0.25">
      <c r="A134" s="220">
        <v>33400</v>
      </c>
      <c r="B134" s="222" t="s">
        <v>309</v>
      </c>
      <c r="C134" s="245">
        <v>196146</v>
      </c>
    </row>
    <row r="135" spans="1:3" ht="13.8" x14ac:dyDescent="0.25">
      <c r="A135" s="249">
        <v>33402</v>
      </c>
      <c r="B135" s="250" t="s">
        <v>310</v>
      </c>
      <c r="C135" s="245">
        <v>1937</v>
      </c>
    </row>
    <row r="136" spans="1:3" ht="13.8" x14ac:dyDescent="0.25">
      <c r="A136" s="249">
        <v>33405</v>
      </c>
      <c r="B136" s="250" t="s">
        <v>73</v>
      </c>
      <c r="C136" s="245">
        <v>18078</v>
      </c>
    </row>
    <row r="137" spans="1:3" ht="13.8" x14ac:dyDescent="0.25">
      <c r="A137" s="249">
        <v>33500</v>
      </c>
      <c r="B137" s="250" t="s">
        <v>311</v>
      </c>
      <c r="C137" s="245">
        <v>27260</v>
      </c>
    </row>
    <row r="138" spans="1:3" ht="13.8" x14ac:dyDescent="0.25">
      <c r="A138" s="249">
        <v>33501</v>
      </c>
      <c r="B138" s="250" t="s">
        <v>312</v>
      </c>
      <c r="C138" s="245">
        <v>1002</v>
      </c>
    </row>
    <row r="139" spans="1:3" ht="13.8" x14ac:dyDescent="0.25">
      <c r="A139" s="249">
        <v>33600</v>
      </c>
      <c r="B139" s="250" t="s">
        <v>313</v>
      </c>
      <c r="C139" s="245">
        <v>95017</v>
      </c>
    </row>
    <row r="140" spans="1:3" ht="13.8" x14ac:dyDescent="0.25">
      <c r="A140" s="249">
        <v>33605</v>
      </c>
      <c r="B140" s="250" t="s">
        <v>74</v>
      </c>
      <c r="C140" s="245">
        <v>11376</v>
      </c>
    </row>
    <row r="141" spans="1:3" ht="13.8" x14ac:dyDescent="0.25">
      <c r="A141" s="220">
        <v>33700</v>
      </c>
      <c r="B141" s="222" t="s">
        <v>314</v>
      </c>
      <c r="C141" s="245">
        <v>6989</v>
      </c>
    </row>
    <row r="142" spans="1:3" ht="13.8" x14ac:dyDescent="0.25">
      <c r="A142" s="220">
        <v>33800</v>
      </c>
      <c r="B142" s="222" t="s">
        <v>315</v>
      </c>
      <c r="C142" s="245">
        <v>5166</v>
      </c>
    </row>
    <row r="143" spans="1:3" ht="13.8" x14ac:dyDescent="0.25">
      <c r="A143" s="220">
        <v>33900</v>
      </c>
      <c r="B143" s="222" t="s">
        <v>837</v>
      </c>
      <c r="C143" s="245">
        <v>19861</v>
      </c>
    </row>
    <row r="144" spans="1:3" ht="13.8" x14ac:dyDescent="0.25">
      <c r="A144" s="220">
        <v>34000</v>
      </c>
      <c r="B144" s="222" t="s">
        <v>316</v>
      </c>
      <c r="C144" s="245">
        <v>12860</v>
      </c>
    </row>
    <row r="145" spans="1:3" ht="13.8" x14ac:dyDescent="0.25">
      <c r="A145" s="220">
        <v>34100</v>
      </c>
      <c r="B145" s="222" t="s">
        <v>317</v>
      </c>
      <c r="C145" s="245">
        <v>248253</v>
      </c>
    </row>
    <row r="146" spans="1:3" ht="13.8" x14ac:dyDescent="0.25">
      <c r="A146" s="220">
        <v>34105</v>
      </c>
      <c r="B146" s="222" t="s">
        <v>75</v>
      </c>
      <c r="C146" s="245">
        <v>18491</v>
      </c>
    </row>
    <row r="147" spans="1:3" ht="13.8" x14ac:dyDescent="0.25">
      <c r="A147" s="249">
        <v>34200</v>
      </c>
      <c r="B147" s="250" t="s">
        <v>318</v>
      </c>
      <c r="C147" s="245">
        <v>6653</v>
      </c>
    </row>
    <row r="148" spans="1:3" ht="13.8" x14ac:dyDescent="0.25">
      <c r="A148" s="249">
        <v>34205</v>
      </c>
      <c r="B148" s="250" t="s">
        <v>76</v>
      </c>
      <c r="C148" s="245">
        <v>3010</v>
      </c>
    </row>
    <row r="149" spans="1:3" ht="13.8" x14ac:dyDescent="0.25">
      <c r="A149" s="249">
        <v>34220</v>
      </c>
      <c r="B149" s="250" t="s">
        <v>319</v>
      </c>
      <c r="C149" s="245">
        <v>10129</v>
      </c>
    </row>
    <row r="150" spans="1:3" ht="13.8" x14ac:dyDescent="0.25">
      <c r="A150" s="249">
        <v>34230</v>
      </c>
      <c r="B150" s="250" t="s">
        <v>320</v>
      </c>
      <c r="C150" s="245">
        <v>3554</v>
      </c>
    </row>
    <row r="151" spans="1:3" ht="13.8" x14ac:dyDescent="0.25">
      <c r="A151" s="249">
        <v>34300</v>
      </c>
      <c r="B151" s="250" t="s">
        <v>321</v>
      </c>
      <c r="C151" s="245">
        <v>55426</v>
      </c>
    </row>
    <row r="152" spans="1:3" ht="13.8" x14ac:dyDescent="0.25">
      <c r="A152" s="249">
        <v>34400</v>
      </c>
      <c r="B152" s="250" t="s">
        <v>322</v>
      </c>
      <c r="C152" s="245">
        <v>24643</v>
      </c>
    </row>
    <row r="153" spans="1:3" ht="13.8" x14ac:dyDescent="0.25">
      <c r="A153" s="220">
        <v>34405</v>
      </c>
      <c r="B153" s="222" t="s">
        <v>77</v>
      </c>
      <c r="C153" s="245">
        <v>4189</v>
      </c>
    </row>
    <row r="154" spans="1:3" ht="13.8" x14ac:dyDescent="0.25">
      <c r="A154" s="220">
        <v>34500</v>
      </c>
      <c r="B154" s="222" t="s">
        <v>323</v>
      </c>
      <c r="C154" s="245">
        <v>48095</v>
      </c>
    </row>
    <row r="155" spans="1:3" ht="13.8" x14ac:dyDescent="0.25">
      <c r="A155" s="220">
        <v>34501</v>
      </c>
      <c r="B155" s="222" t="s">
        <v>324</v>
      </c>
      <c r="C155" s="245">
        <v>714</v>
      </c>
    </row>
    <row r="156" spans="1:3" ht="13.8" x14ac:dyDescent="0.25">
      <c r="A156" s="220">
        <v>34505</v>
      </c>
      <c r="B156" s="222" t="s">
        <v>78</v>
      </c>
      <c r="C156" s="245">
        <v>6163</v>
      </c>
    </row>
    <row r="157" spans="1:3" ht="13.8" x14ac:dyDescent="0.25">
      <c r="A157" s="220">
        <v>34600</v>
      </c>
      <c r="B157" s="222" t="s">
        <v>325</v>
      </c>
      <c r="C157" s="245">
        <v>9744</v>
      </c>
    </row>
    <row r="158" spans="1:3" ht="13.8" x14ac:dyDescent="0.25">
      <c r="A158" s="220">
        <v>34605</v>
      </c>
      <c r="B158" s="222" t="s">
        <v>79</v>
      </c>
      <c r="C158" s="245">
        <v>1612</v>
      </c>
    </row>
    <row r="159" spans="1:3" ht="13.8" x14ac:dyDescent="0.25">
      <c r="A159" s="249">
        <v>34700</v>
      </c>
      <c r="B159" s="250" t="s">
        <v>326</v>
      </c>
      <c r="C159" s="245">
        <v>28410</v>
      </c>
    </row>
    <row r="160" spans="1:3" ht="13.8" x14ac:dyDescent="0.25">
      <c r="A160" s="249">
        <v>34800</v>
      </c>
      <c r="B160" s="250" t="s">
        <v>327</v>
      </c>
      <c r="C160" s="245">
        <v>2970</v>
      </c>
    </row>
    <row r="161" spans="1:3" ht="13.8" x14ac:dyDescent="0.25">
      <c r="A161" s="249">
        <v>34900</v>
      </c>
      <c r="B161" s="250" t="s">
        <v>482</v>
      </c>
      <c r="C161" s="245">
        <v>66602</v>
      </c>
    </row>
    <row r="162" spans="1:3" ht="13.8" x14ac:dyDescent="0.25">
      <c r="A162" s="249">
        <v>34901</v>
      </c>
      <c r="B162" s="250" t="s">
        <v>455</v>
      </c>
      <c r="C162" s="245">
        <v>1951</v>
      </c>
    </row>
    <row r="163" spans="1:3" ht="13.8" x14ac:dyDescent="0.25">
      <c r="A163" s="249">
        <v>34903</v>
      </c>
      <c r="B163" s="250" t="s">
        <v>328</v>
      </c>
      <c r="C163" s="245">
        <v>334</v>
      </c>
    </row>
    <row r="164" spans="1:3" ht="13.8" x14ac:dyDescent="0.25">
      <c r="A164" s="249">
        <v>34905</v>
      </c>
      <c r="B164" s="250" t="s">
        <v>80</v>
      </c>
      <c r="C164" s="245">
        <v>6015</v>
      </c>
    </row>
    <row r="165" spans="1:3" ht="13.8" x14ac:dyDescent="0.25">
      <c r="A165" s="249">
        <v>34910</v>
      </c>
      <c r="B165" s="250" t="s">
        <v>329</v>
      </c>
      <c r="C165" s="245">
        <v>21506</v>
      </c>
    </row>
    <row r="166" spans="1:3" ht="13.8" x14ac:dyDescent="0.25">
      <c r="A166" s="249">
        <v>35000</v>
      </c>
      <c r="B166" s="250" t="s">
        <v>330</v>
      </c>
      <c r="C166" s="245">
        <v>14475</v>
      </c>
    </row>
    <row r="167" spans="1:3" ht="13.8" x14ac:dyDescent="0.25">
      <c r="A167" s="249">
        <v>35005</v>
      </c>
      <c r="B167" s="250" t="s">
        <v>81</v>
      </c>
      <c r="C167" s="245">
        <v>4880</v>
      </c>
    </row>
    <row r="168" spans="1:3" ht="13.8" x14ac:dyDescent="0.25">
      <c r="A168" s="249">
        <v>35100</v>
      </c>
      <c r="B168" s="250" t="s">
        <v>331</v>
      </c>
      <c r="C168" s="245">
        <v>122006</v>
      </c>
    </row>
    <row r="169" spans="1:3" ht="13.8" x14ac:dyDescent="0.25">
      <c r="A169" s="249">
        <v>35105</v>
      </c>
      <c r="B169" s="250" t="s">
        <v>82</v>
      </c>
      <c r="C169" s="245">
        <v>10458</v>
      </c>
    </row>
    <row r="170" spans="1:3" ht="13.8" x14ac:dyDescent="0.25">
      <c r="A170" s="249">
        <v>35106</v>
      </c>
      <c r="B170" s="250" t="s">
        <v>332</v>
      </c>
      <c r="C170" s="245">
        <v>2178</v>
      </c>
    </row>
    <row r="171" spans="1:3" ht="13.8" x14ac:dyDescent="0.25">
      <c r="A171" s="220">
        <v>35200</v>
      </c>
      <c r="B171" s="222" t="s">
        <v>333</v>
      </c>
      <c r="C171" s="245">
        <v>4595</v>
      </c>
    </row>
    <row r="172" spans="1:3" ht="13.8" x14ac:dyDescent="0.25">
      <c r="A172" s="220">
        <v>35300</v>
      </c>
      <c r="B172" s="222" t="s">
        <v>456</v>
      </c>
      <c r="C172" s="245">
        <v>33030</v>
      </c>
    </row>
    <row r="173" spans="1:3" ht="13.8" x14ac:dyDescent="0.25">
      <c r="A173" s="220">
        <v>35305</v>
      </c>
      <c r="B173" s="222" t="s">
        <v>83</v>
      </c>
      <c r="C173" s="245">
        <v>13991</v>
      </c>
    </row>
    <row r="174" spans="1:3" ht="13.8" x14ac:dyDescent="0.25">
      <c r="A174" s="220">
        <v>35400</v>
      </c>
      <c r="B174" s="222" t="s">
        <v>334</v>
      </c>
      <c r="C174" s="245">
        <v>29209</v>
      </c>
    </row>
    <row r="175" spans="1:3" ht="13.8" x14ac:dyDescent="0.25">
      <c r="A175" s="220">
        <v>35401</v>
      </c>
      <c r="B175" s="222" t="s">
        <v>335</v>
      </c>
      <c r="C175" s="245">
        <v>299</v>
      </c>
    </row>
    <row r="176" spans="1:3" ht="13.8" x14ac:dyDescent="0.25">
      <c r="A176" s="220">
        <v>35405</v>
      </c>
      <c r="B176" s="222" t="s">
        <v>84</v>
      </c>
      <c r="C176" s="245">
        <v>7695</v>
      </c>
    </row>
    <row r="177" spans="1:3" ht="13.8" x14ac:dyDescent="0.25">
      <c r="A177" s="249">
        <v>35500</v>
      </c>
      <c r="B177" s="250" t="s">
        <v>336</v>
      </c>
      <c r="C177" s="245">
        <v>39621</v>
      </c>
    </row>
    <row r="178" spans="1:3" ht="13.8" x14ac:dyDescent="0.25">
      <c r="A178" s="249">
        <v>35600</v>
      </c>
      <c r="B178" s="250" t="s">
        <v>337</v>
      </c>
      <c r="C178" s="245">
        <v>16155</v>
      </c>
    </row>
    <row r="179" spans="1:3" ht="13.8" x14ac:dyDescent="0.25">
      <c r="A179" s="249">
        <v>35700</v>
      </c>
      <c r="B179" s="250" t="s">
        <v>338</v>
      </c>
      <c r="C179" s="245">
        <v>8954</v>
      </c>
    </row>
    <row r="180" spans="1:3" ht="13.8" x14ac:dyDescent="0.25">
      <c r="A180" s="249">
        <v>35800</v>
      </c>
      <c r="B180" s="250" t="s">
        <v>339</v>
      </c>
      <c r="C180" s="245">
        <v>10833</v>
      </c>
    </row>
    <row r="181" spans="1:3" ht="13.8" x14ac:dyDescent="0.25">
      <c r="A181" s="249">
        <v>35805</v>
      </c>
      <c r="B181" s="250" t="s">
        <v>85</v>
      </c>
      <c r="C181" s="245">
        <v>2177</v>
      </c>
    </row>
    <row r="182" spans="1:3" ht="13.8" x14ac:dyDescent="0.25">
      <c r="A182" s="249">
        <v>35900</v>
      </c>
      <c r="B182" s="250" t="s">
        <v>340</v>
      </c>
      <c r="C182" s="245">
        <v>20266</v>
      </c>
    </row>
    <row r="183" spans="1:3" ht="13.8" x14ac:dyDescent="0.25">
      <c r="A183" s="220">
        <v>35905</v>
      </c>
      <c r="B183" s="222" t="s">
        <v>86</v>
      </c>
      <c r="C183" s="245">
        <v>3218</v>
      </c>
    </row>
    <row r="184" spans="1:3" ht="13.8" x14ac:dyDescent="0.25">
      <c r="A184" s="220">
        <v>36000</v>
      </c>
      <c r="B184" s="222" t="s">
        <v>341</v>
      </c>
      <c r="C184" s="245">
        <v>523656</v>
      </c>
    </row>
    <row r="185" spans="1:3" ht="13.8" x14ac:dyDescent="0.25">
      <c r="A185" s="220">
        <v>36003</v>
      </c>
      <c r="B185" s="222" t="s">
        <v>342</v>
      </c>
      <c r="C185" s="245">
        <v>4098</v>
      </c>
    </row>
    <row r="186" spans="1:3" ht="13.8" x14ac:dyDescent="0.25">
      <c r="A186" s="220">
        <v>36004</v>
      </c>
      <c r="B186" s="222" t="s">
        <v>483</v>
      </c>
      <c r="C186" s="245">
        <v>2670</v>
      </c>
    </row>
    <row r="187" spans="1:3" ht="13.8" x14ac:dyDescent="0.25">
      <c r="A187" s="220">
        <v>36005</v>
      </c>
      <c r="B187" s="222" t="s">
        <v>87</v>
      </c>
      <c r="C187" s="245">
        <v>38211</v>
      </c>
    </row>
    <row r="188" spans="1:3" ht="13.8" x14ac:dyDescent="0.25">
      <c r="A188" s="220">
        <v>36006</v>
      </c>
      <c r="B188" s="222" t="s">
        <v>343</v>
      </c>
      <c r="C188" s="245">
        <v>7426</v>
      </c>
    </row>
    <row r="189" spans="1:3" ht="13.8" x14ac:dyDescent="0.25">
      <c r="A189" s="249">
        <v>36007</v>
      </c>
      <c r="B189" s="250" t="s">
        <v>344</v>
      </c>
      <c r="C189" s="245">
        <v>2399</v>
      </c>
    </row>
    <row r="190" spans="1:3" ht="13.8" x14ac:dyDescent="0.25">
      <c r="A190" s="249">
        <v>36008</v>
      </c>
      <c r="B190" s="250" t="s">
        <v>345</v>
      </c>
      <c r="C190" s="245">
        <v>6109</v>
      </c>
    </row>
    <row r="191" spans="1:3" ht="13.8" x14ac:dyDescent="0.25">
      <c r="A191" s="249">
        <v>36009</v>
      </c>
      <c r="B191" s="250" t="s">
        <v>346</v>
      </c>
      <c r="C191" s="245">
        <v>562</v>
      </c>
    </row>
    <row r="192" spans="1:3" ht="13.8" x14ac:dyDescent="0.25">
      <c r="A192" s="249">
        <v>36100</v>
      </c>
      <c r="B192" s="250" t="s">
        <v>347</v>
      </c>
      <c r="C192" s="245">
        <v>6768</v>
      </c>
    </row>
    <row r="193" spans="1:3" ht="13.8" x14ac:dyDescent="0.25">
      <c r="A193" s="249">
        <v>36105</v>
      </c>
      <c r="B193" s="250" t="s">
        <v>88</v>
      </c>
      <c r="C193" s="245">
        <v>2883</v>
      </c>
    </row>
    <row r="194" spans="1:3" ht="13.8" x14ac:dyDescent="0.25">
      <c r="A194" s="249">
        <v>36200</v>
      </c>
      <c r="B194" s="250" t="s">
        <v>349</v>
      </c>
      <c r="C194" s="245">
        <v>11775</v>
      </c>
    </row>
    <row r="195" spans="1:3" ht="13.8" x14ac:dyDescent="0.25">
      <c r="A195" s="220">
        <v>36205</v>
      </c>
      <c r="B195" s="222" t="s">
        <v>89</v>
      </c>
      <c r="C195" s="245">
        <v>2632</v>
      </c>
    </row>
    <row r="196" spans="1:3" ht="13.8" x14ac:dyDescent="0.25">
      <c r="A196" s="220">
        <v>36300</v>
      </c>
      <c r="B196" s="222" t="s">
        <v>350</v>
      </c>
      <c r="C196" s="245">
        <v>43299</v>
      </c>
    </row>
    <row r="197" spans="1:3" ht="13.8" x14ac:dyDescent="0.25">
      <c r="A197" s="220">
        <v>36301</v>
      </c>
      <c r="B197" s="222" t="s">
        <v>351</v>
      </c>
      <c r="C197" s="245">
        <v>1318</v>
      </c>
    </row>
    <row r="198" spans="1:3" ht="13.8" x14ac:dyDescent="0.25">
      <c r="A198" s="220">
        <v>36302</v>
      </c>
      <c r="B198" s="222" t="s">
        <v>352</v>
      </c>
      <c r="C198" s="245">
        <v>2088</v>
      </c>
    </row>
    <row r="199" spans="1:3" ht="13.8" x14ac:dyDescent="0.25">
      <c r="A199" s="220">
        <v>36303</v>
      </c>
      <c r="B199" s="222" t="s">
        <v>242</v>
      </c>
      <c r="C199" s="245">
        <v>2928</v>
      </c>
    </row>
    <row r="200" spans="1:3" ht="13.8" x14ac:dyDescent="0.25">
      <c r="A200" s="220">
        <v>36305</v>
      </c>
      <c r="B200" s="222" t="s">
        <v>90</v>
      </c>
      <c r="C200" s="245">
        <v>9077</v>
      </c>
    </row>
    <row r="201" spans="1:3" ht="13.8" x14ac:dyDescent="0.25">
      <c r="A201" s="249">
        <v>36400</v>
      </c>
      <c r="B201" s="250" t="s">
        <v>353</v>
      </c>
      <c r="C201" s="245">
        <v>45985</v>
      </c>
    </row>
    <row r="202" spans="1:3" ht="13.8" x14ac:dyDescent="0.25">
      <c r="A202" s="249">
        <v>36405</v>
      </c>
      <c r="B202" s="250" t="s">
        <v>484</v>
      </c>
      <c r="C202" s="245">
        <v>6042</v>
      </c>
    </row>
    <row r="203" spans="1:3" ht="13.8" x14ac:dyDescent="0.25">
      <c r="A203" s="249">
        <v>36500</v>
      </c>
      <c r="B203" s="250" t="s">
        <v>354</v>
      </c>
      <c r="C203" s="245">
        <v>99532</v>
      </c>
    </row>
    <row r="204" spans="1:3" ht="13.8" x14ac:dyDescent="0.25">
      <c r="A204" s="249">
        <v>36501</v>
      </c>
      <c r="B204" s="250" t="s">
        <v>457</v>
      </c>
      <c r="C204" s="245">
        <v>1366</v>
      </c>
    </row>
    <row r="205" spans="1:3" ht="13.8" x14ac:dyDescent="0.25">
      <c r="A205" s="249">
        <v>36502</v>
      </c>
      <c r="B205" s="250" t="s">
        <v>838</v>
      </c>
      <c r="C205" s="245">
        <v>192</v>
      </c>
    </row>
    <row r="206" spans="1:3" ht="13.8" x14ac:dyDescent="0.25">
      <c r="A206" s="249">
        <v>36505</v>
      </c>
      <c r="B206" s="250" t="s">
        <v>92</v>
      </c>
      <c r="C206" s="245">
        <v>18525</v>
      </c>
    </row>
    <row r="207" spans="1:3" ht="13.8" x14ac:dyDescent="0.25">
      <c r="A207" s="220">
        <v>36600</v>
      </c>
      <c r="B207" s="222" t="s">
        <v>355</v>
      </c>
      <c r="C207" s="245">
        <v>4794</v>
      </c>
    </row>
    <row r="208" spans="1:3" ht="13.8" x14ac:dyDescent="0.25">
      <c r="A208" s="220">
        <v>36700</v>
      </c>
      <c r="B208" s="223" t="s">
        <v>357</v>
      </c>
      <c r="C208" s="245">
        <v>83187</v>
      </c>
    </row>
    <row r="209" spans="1:3" ht="13.8" x14ac:dyDescent="0.25">
      <c r="A209" s="220">
        <v>36701</v>
      </c>
      <c r="B209" s="222" t="s">
        <v>358</v>
      </c>
      <c r="C209" s="245">
        <v>269</v>
      </c>
    </row>
    <row r="210" spans="1:3" ht="13.8" x14ac:dyDescent="0.25">
      <c r="A210" s="220">
        <v>36705</v>
      </c>
      <c r="B210" s="222" t="s">
        <v>93</v>
      </c>
      <c r="C210" s="245">
        <v>7906</v>
      </c>
    </row>
    <row r="211" spans="1:3" ht="13.8" x14ac:dyDescent="0.25">
      <c r="A211" s="220">
        <v>36800</v>
      </c>
      <c r="B211" s="222" t="s">
        <v>359</v>
      </c>
      <c r="C211" s="245">
        <v>31260</v>
      </c>
    </row>
    <row r="212" spans="1:3" ht="13.8" x14ac:dyDescent="0.25">
      <c r="A212" s="220">
        <v>36802</v>
      </c>
      <c r="B212" s="223" t="s">
        <v>360</v>
      </c>
      <c r="C212" s="245">
        <v>2751</v>
      </c>
    </row>
    <row r="213" spans="1:3" ht="13.8" x14ac:dyDescent="0.25">
      <c r="A213" s="249">
        <v>36810</v>
      </c>
      <c r="B213" s="250" t="s">
        <v>485</v>
      </c>
      <c r="C213" s="245">
        <v>62786</v>
      </c>
    </row>
    <row r="214" spans="1:3" ht="13.8" x14ac:dyDescent="0.25">
      <c r="A214" s="249">
        <v>36900</v>
      </c>
      <c r="B214" s="250" t="s">
        <v>361</v>
      </c>
      <c r="C214" s="245">
        <v>6059</v>
      </c>
    </row>
    <row r="215" spans="1:3" ht="13.8" x14ac:dyDescent="0.25">
      <c r="A215" s="249">
        <v>36901</v>
      </c>
      <c r="B215" s="250" t="s">
        <v>362</v>
      </c>
      <c r="C215" s="245">
        <v>2163</v>
      </c>
    </row>
    <row r="216" spans="1:3" ht="13.8" x14ac:dyDescent="0.25">
      <c r="A216" s="249">
        <v>36905</v>
      </c>
      <c r="B216" s="250" t="s">
        <v>94</v>
      </c>
      <c r="C216" s="245">
        <v>1748</v>
      </c>
    </row>
    <row r="217" spans="1:3" ht="13.8" x14ac:dyDescent="0.25">
      <c r="A217" s="249">
        <v>37000</v>
      </c>
      <c r="B217" s="250" t="s">
        <v>363</v>
      </c>
      <c r="C217" s="245">
        <v>16224</v>
      </c>
    </row>
    <row r="218" spans="1:3" ht="13.8" x14ac:dyDescent="0.25">
      <c r="A218" s="249">
        <v>37001</v>
      </c>
      <c r="B218" s="250" t="s">
        <v>458</v>
      </c>
      <c r="C218" s="245">
        <v>1844</v>
      </c>
    </row>
    <row r="219" spans="1:3" ht="13.8" x14ac:dyDescent="0.25">
      <c r="A219" s="249">
        <v>37005</v>
      </c>
      <c r="B219" s="250" t="s">
        <v>95</v>
      </c>
      <c r="C219" s="245">
        <v>5196</v>
      </c>
    </row>
    <row r="220" spans="1:3" ht="13.8" x14ac:dyDescent="0.25">
      <c r="A220" s="249">
        <v>37100</v>
      </c>
      <c r="B220" s="250" t="s">
        <v>364</v>
      </c>
      <c r="C220" s="245">
        <v>35938</v>
      </c>
    </row>
    <row r="221" spans="1:3" ht="13.8" x14ac:dyDescent="0.25">
      <c r="A221" s="249">
        <v>37200</v>
      </c>
      <c r="B221" s="250" t="s">
        <v>365</v>
      </c>
      <c r="C221" s="245">
        <v>7104</v>
      </c>
    </row>
    <row r="222" spans="1:3" ht="13.8" x14ac:dyDescent="0.25">
      <c r="A222" s="249">
        <v>37300</v>
      </c>
      <c r="B222" s="250" t="s">
        <v>366</v>
      </c>
      <c r="C222" s="245">
        <v>16676</v>
      </c>
    </row>
    <row r="223" spans="1:3" ht="13.8" x14ac:dyDescent="0.25">
      <c r="A223" s="249">
        <v>37301</v>
      </c>
      <c r="B223" s="250" t="s">
        <v>367</v>
      </c>
      <c r="C223" s="245">
        <v>1704</v>
      </c>
    </row>
    <row r="224" spans="1:3" ht="13.8" x14ac:dyDescent="0.25">
      <c r="A224" s="249">
        <v>37305</v>
      </c>
      <c r="B224" s="250" t="s">
        <v>96</v>
      </c>
      <c r="C224" s="245">
        <v>3426</v>
      </c>
    </row>
    <row r="225" spans="1:3" ht="13.8" x14ac:dyDescent="0.25">
      <c r="A225" s="220">
        <v>37400</v>
      </c>
      <c r="B225" s="222" t="s">
        <v>368</v>
      </c>
      <c r="C225" s="245">
        <v>83939</v>
      </c>
    </row>
    <row r="226" spans="1:3" ht="13.8" x14ac:dyDescent="0.25">
      <c r="A226" s="220">
        <v>37405</v>
      </c>
      <c r="B226" s="222" t="s">
        <v>97</v>
      </c>
      <c r="C226" s="245">
        <v>16243</v>
      </c>
    </row>
    <row r="227" spans="1:3" ht="13.8" x14ac:dyDescent="0.25">
      <c r="A227" s="220">
        <v>37500</v>
      </c>
      <c r="B227" s="222" t="s">
        <v>369</v>
      </c>
      <c r="C227" s="245">
        <v>9299</v>
      </c>
    </row>
    <row r="228" spans="1:3" ht="13.8" x14ac:dyDescent="0.25">
      <c r="A228" s="220">
        <v>37600</v>
      </c>
      <c r="B228" s="222" t="s">
        <v>370</v>
      </c>
      <c r="C228" s="245">
        <v>51746</v>
      </c>
    </row>
    <row r="229" spans="1:3" ht="13.8" x14ac:dyDescent="0.25">
      <c r="A229" s="220">
        <v>37601</v>
      </c>
      <c r="B229" s="222" t="s">
        <v>371</v>
      </c>
      <c r="C229" s="245">
        <v>5949</v>
      </c>
    </row>
    <row r="230" spans="1:3" ht="13.8" x14ac:dyDescent="0.25">
      <c r="A230" s="220">
        <v>37605</v>
      </c>
      <c r="B230" s="222" t="s">
        <v>98</v>
      </c>
      <c r="C230" s="245">
        <v>6813</v>
      </c>
    </row>
    <row r="231" spans="1:3" ht="13.8" x14ac:dyDescent="0.25">
      <c r="A231" s="249">
        <v>37610</v>
      </c>
      <c r="B231" s="250" t="s">
        <v>372</v>
      </c>
      <c r="C231" s="245">
        <v>16305</v>
      </c>
    </row>
    <row r="232" spans="1:3" ht="13.8" x14ac:dyDescent="0.25">
      <c r="A232" s="249">
        <v>37700</v>
      </c>
      <c r="B232" s="250" t="s">
        <v>373</v>
      </c>
      <c r="C232" s="245">
        <v>23621</v>
      </c>
    </row>
    <row r="233" spans="1:3" ht="13.8" x14ac:dyDescent="0.25">
      <c r="A233" s="249">
        <v>37705</v>
      </c>
      <c r="B233" s="250" t="s">
        <v>99</v>
      </c>
      <c r="C233" s="245">
        <v>6093</v>
      </c>
    </row>
    <row r="234" spans="1:3" ht="13.8" x14ac:dyDescent="0.25">
      <c r="A234" s="249">
        <v>37800</v>
      </c>
      <c r="B234" s="250" t="s">
        <v>374</v>
      </c>
      <c r="C234" s="245">
        <v>65495</v>
      </c>
    </row>
    <row r="235" spans="1:3" ht="13.8" x14ac:dyDescent="0.25">
      <c r="A235" s="249">
        <v>37801</v>
      </c>
      <c r="B235" s="250" t="s">
        <v>375</v>
      </c>
      <c r="C235" s="245">
        <v>730</v>
      </c>
    </row>
    <row r="236" spans="1:3" ht="13.8" x14ac:dyDescent="0.25">
      <c r="A236" s="249">
        <v>37805</v>
      </c>
      <c r="B236" s="250" t="s">
        <v>100</v>
      </c>
      <c r="C236" s="245">
        <v>5787</v>
      </c>
    </row>
    <row r="237" spans="1:3" ht="13.8" x14ac:dyDescent="0.25">
      <c r="A237" s="220">
        <v>37900</v>
      </c>
      <c r="B237" s="222" t="s">
        <v>376</v>
      </c>
      <c r="C237" s="245">
        <v>36861</v>
      </c>
    </row>
    <row r="238" spans="1:3" ht="13.8" x14ac:dyDescent="0.25">
      <c r="A238" s="220">
        <v>37901</v>
      </c>
      <c r="B238" s="222" t="s">
        <v>377</v>
      </c>
      <c r="C238" s="245">
        <v>1443</v>
      </c>
    </row>
    <row r="239" spans="1:3" ht="13.8" x14ac:dyDescent="0.25">
      <c r="A239" s="220">
        <v>37905</v>
      </c>
      <c r="B239" s="222" t="s">
        <v>101</v>
      </c>
      <c r="C239" s="245">
        <v>4063</v>
      </c>
    </row>
    <row r="240" spans="1:3" ht="13.8" x14ac:dyDescent="0.25">
      <c r="A240" s="220">
        <v>38000</v>
      </c>
      <c r="B240" s="222" t="s">
        <v>378</v>
      </c>
      <c r="C240" s="245">
        <v>60517</v>
      </c>
    </row>
    <row r="241" spans="1:3" ht="13.8" x14ac:dyDescent="0.25">
      <c r="A241" s="220">
        <v>38005</v>
      </c>
      <c r="B241" s="222" t="s">
        <v>102</v>
      </c>
      <c r="C241" s="245">
        <v>14446</v>
      </c>
    </row>
    <row r="242" spans="1:3" ht="13.8" x14ac:dyDescent="0.25">
      <c r="A242" s="220">
        <v>38100</v>
      </c>
      <c r="B242" s="222" t="s">
        <v>379</v>
      </c>
      <c r="C242" s="245">
        <v>28144</v>
      </c>
    </row>
    <row r="243" spans="1:3" ht="13.8" x14ac:dyDescent="0.25">
      <c r="A243" s="249">
        <v>38105</v>
      </c>
      <c r="B243" s="250" t="s">
        <v>103</v>
      </c>
      <c r="C243" s="245">
        <v>5646</v>
      </c>
    </row>
    <row r="244" spans="1:3" ht="13.8" x14ac:dyDescent="0.25">
      <c r="A244" s="249">
        <v>38200</v>
      </c>
      <c r="B244" s="250" t="s">
        <v>380</v>
      </c>
      <c r="C244" s="245">
        <v>27081</v>
      </c>
    </row>
    <row r="245" spans="1:3" ht="13.8" x14ac:dyDescent="0.25">
      <c r="A245" s="249">
        <v>38205</v>
      </c>
      <c r="B245" s="250" t="s">
        <v>104</v>
      </c>
      <c r="C245" s="245">
        <v>3933</v>
      </c>
    </row>
    <row r="246" spans="1:3" ht="13.8" x14ac:dyDescent="0.25">
      <c r="A246" s="249">
        <v>38210</v>
      </c>
      <c r="B246" s="250" t="s">
        <v>381</v>
      </c>
      <c r="C246" s="245">
        <v>10591</v>
      </c>
    </row>
    <row r="247" spans="1:3" ht="13.8" x14ac:dyDescent="0.25">
      <c r="A247" s="249">
        <v>38300</v>
      </c>
      <c r="B247" s="250" t="s">
        <v>382</v>
      </c>
      <c r="C247" s="245">
        <v>20516</v>
      </c>
    </row>
    <row r="248" spans="1:3" ht="13.8" x14ac:dyDescent="0.25">
      <c r="A248" s="249">
        <v>38400</v>
      </c>
      <c r="B248" s="250" t="s">
        <v>383</v>
      </c>
      <c r="C248" s="245">
        <v>27009</v>
      </c>
    </row>
    <row r="249" spans="1:3" ht="13.8" x14ac:dyDescent="0.25">
      <c r="A249" s="220">
        <v>38402</v>
      </c>
      <c r="B249" s="222" t="s">
        <v>384</v>
      </c>
      <c r="C249" s="245">
        <v>2025</v>
      </c>
    </row>
    <row r="250" spans="1:3" ht="13.8" x14ac:dyDescent="0.25">
      <c r="A250" s="220">
        <v>38405</v>
      </c>
      <c r="B250" s="222" t="s">
        <v>105</v>
      </c>
      <c r="C250" s="245">
        <v>6376</v>
      </c>
    </row>
    <row r="251" spans="1:3" ht="13.8" x14ac:dyDescent="0.25">
      <c r="A251" s="220">
        <v>38500</v>
      </c>
      <c r="B251" s="222" t="s">
        <v>385</v>
      </c>
      <c r="C251" s="245">
        <v>20416</v>
      </c>
    </row>
    <row r="252" spans="1:3" ht="13.8" x14ac:dyDescent="0.25">
      <c r="A252" s="220">
        <v>38600</v>
      </c>
      <c r="B252" s="222" t="s">
        <v>386</v>
      </c>
      <c r="C252" s="245">
        <v>25753</v>
      </c>
    </row>
    <row r="253" spans="1:3" ht="13.8" x14ac:dyDescent="0.25">
      <c r="A253" s="220">
        <v>38602</v>
      </c>
      <c r="B253" s="222" t="s">
        <v>388</v>
      </c>
      <c r="C253" s="245">
        <v>2059</v>
      </c>
    </row>
    <row r="254" spans="1:3" ht="13.8" x14ac:dyDescent="0.25">
      <c r="A254" s="220">
        <v>38605</v>
      </c>
      <c r="B254" s="222" t="s">
        <v>106</v>
      </c>
      <c r="C254" s="245">
        <v>6237</v>
      </c>
    </row>
    <row r="255" spans="1:3" ht="13.8" x14ac:dyDescent="0.25">
      <c r="A255" s="249">
        <v>38610</v>
      </c>
      <c r="B255" s="250" t="s">
        <v>389</v>
      </c>
      <c r="C255" s="245">
        <v>6886</v>
      </c>
    </row>
    <row r="256" spans="1:3" ht="13.8" x14ac:dyDescent="0.25">
      <c r="A256" s="249">
        <v>38620</v>
      </c>
      <c r="B256" s="250" t="s">
        <v>390</v>
      </c>
      <c r="C256" s="245">
        <v>4678</v>
      </c>
    </row>
    <row r="257" spans="1:3" ht="13.8" x14ac:dyDescent="0.25">
      <c r="A257" s="249">
        <v>38700</v>
      </c>
      <c r="B257" s="250" t="s">
        <v>391</v>
      </c>
      <c r="C257" s="245">
        <v>8277</v>
      </c>
    </row>
    <row r="258" spans="1:3" ht="13.8" x14ac:dyDescent="0.25">
      <c r="A258" s="249">
        <v>38701</v>
      </c>
      <c r="B258" s="250" t="s">
        <v>459</v>
      </c>
      <c r="C258" s="245">
        <v>708</v>
      </c>
    </row>
    <row r="259" spans="1:3" ht="13.8" x14ac:dyDescent="0.25">
      <c r="A259" s="249">
        <v>38800</v>
      </c>
      <c r="B259" s="250" t="s">
        <v>392</v>
      </c>
      <c r="C259" s="245">
        <v>13807</v>
      </c>
    </row>
    <row r="260" spans="1:3" ht="13.8" x14ac:dyDescent="0.25">
      <c r="A260" s="249">
        <v>38801</v>
      </c>
      <c r="B260" s="250" t="s">
        <v>393</v>
      </c>
      <c r="C260" s="245">
        <v>1256</v>
      </c>
    </row>
    <row r="261" spans="1:3" ht="13.8" x14ac:dyDescent="0.25">
      <c r="A261" s="220">
        <v>38900</v>
      </c>
      <c r="B261" s="222" t="s">
        <v>394</v>
      </c>
      <c r="C261" s="245">
        <v>2797</v>
      </c>
    </row>
    <row r="262" spans="1:3" ht="13.8" x14ac:dyDescent="0.25">
      <c r="A262" s="220">
        <v>39000</v>
      </c>
      <c r="B262" s="222" t="s">
        <v>395</v>
      </c>
      <c r="C262" s="245">
        <v>129670</v>
      </c>
    </row>
    <row r="263" spans="1:3" ht="13.8" x14ac:dyDescent="0.25">
      <c r="A263" s="220">
        <v>39100</v>
      </c>
      <c r="B263" s="222" t="s">
        <v>396</v>
      </c>
      <c r="C263" s="245">
        <v>15592</v>
      </c>
    </row>
    <row r="264" spans="1:3" ht="13.8" x14ac:dyDescent="0.25">
      <c r="A264" s="220">
        <v>39101</v>
      </c>
      <c r="B264" s="222" t="s">
        <v>397</v>
      </c>
      <c r="C264" s="245">
        <v>2825</v>
      </c>
    </row>
    <row r="265" spans="1:3" ht="13.8" x14ac:dyDescent="0.25">
      <c r="A265" s="220">
        <v>39105</v>
      </c>
      <c r="B265" s="222" t="s">
        <v>107</v>
      </c>
      <c r="C265" s="245">
        <v>6668</v>
      </c>
    </row>
    <row r="266" spans="1:3" ht="13.8" x14ac:dyDescent="0.25">
      <c r="A266" s="220">
        <v>39200</v>
      </c>
      <c r="B266" s="222" t="s">
        <v>486</v>
      </c>
      <c r="C266" s="245">
        <v>610865</v>
      </c>
    </row>
    <row r="267" spans="1:3" ht="13.8" x14ac:dyDescent="0.25">
      <c r="A267" s="249">
        <v>39201</v>
      </c>
      <c r="B267" s="250" t="s">
        <v>398</v>
      </c>
      <c r="C267" s="245">
        <v>2604</v>
      </c>
    </row>
    <row r="268" spans="1:3" ht="13.8" x14ac:dyDescent="0.25">
      <c r="A268" s="249">
        <v>39204</v>
      </c>
      <c r="B268" s="250" t="s">
        <v>399</v>
      </c>
      <c r="C268" s="245">
        <v>1621</v>
      </c>
    </row>
    <row r="269" spans="1:3" ht="13.8" x14ac:dyDescent="0.25">
      <c r="A269" s="249">
        <v>39205</v>
      </c>
      <c r="B269" s="250" t="s">
        <v>108</v>
      </c>
      <c r="C269" s="245">
        <v>52747</v>
      </c>
    </row>
    <row r="270" spans="1:3" ht="13.8" x14ac:dyDescent="0.25">
      <c r="A270" s="249">
        <v>39208</v>
      </c>
      <c r="B270" s="250" t="s">
        <v>487</v>
      </c>
      <c r="C270" s="245">
        <v>3701</v>
      </c>
    </row>
    <row r="271" spans="1:3" ht="13.8" x14ac:dyDescent="0.25">
      <c r="A271" s="249">
        <v>39300</v>
      </c>
      <c r="B271" s="250" t="s">
        <v>401</v>
      </c>
      <c r="C271" s="245">
        <v>6635</v>
      </c>
    </row>
    <row r="272" spans="1:3" ht="13.8" x14ac:dyDescent="0.25">
      <c r="A272" s="249">
        <v>39301</v>
      </c>
      <c r="B272" s="250" t="s">
        <v>402</v>
      </c>
      <c r="C272" s="245">
        <v>404</v>
      </c>
    </row>
    <row r="273" spans="1:3" ht="13.8" x14ac:dyDescent="0.25">
      <c r="A273" s="249">
        <v>39400</v>
      </c>
      <c r="B273" s="250" t="s">
        <v>403</v>
      </c>
      <c r="C273" s="245">
        <v>3837</v>
      </c>
    </row>
    <row r="274" spans="1:3" ht="13.8" x14ac:dyDescent="0.25">
      <c r="A274" s="249">
        <v>39401</v>
      </c>
      <c r="B274" s="250" t="s">
        <v>404</v>
      </c>
      <c r="C274" s="245">
        <v>4126</v>
      </c>
    </row>
    <row r="275" spans="1:3" ht="13.8" x14ac:dyDescent="0.25">
      <c r="A275" s="249">
        <v>39500</v>
      </c>
      <c r="B275" s="250" t="s">
        <v>405</v>
      </c>
      <c r="C275" s="245">
        <v>20231</v>
      </c>
    </row>
    <row r="276" spans="1:3" ht="13.8" x14ac:dyDescent="0.25">
      <c r="A276" s="249">
        <v>39501</v>
      </c>
      <c r="B276" s="250" t="s">
        <v>460</v>
      </c>
      <c r="C276" s="245">
        <v>457</v>
      </c>
    </row>
    <row r="277" spans="1:3" ht="13.8" x14ac:dyDescent="0.25">
      <c r="A277" s="249">
        <v>39600</v>
      </c>
      <c r="B277" s="250" t="s">
        <v>406</v>
      </c>
      <c r="C277" s="245">
        <v>52130</v>
      </c>
    </row>
    <row r="278" spans="1:3" ht="13.8" x14ac:dyDescent="0.25">
      <c r="A278" s="249">
        <v>39605</v>
      </c>
      <c r="B278" s="250" t="s">
        <v>109</v>
      </c>
      <c r="C278" s="245">
        <v>7488</v>
      </c>
    </row>
    <row r="279" spans="1:3" ht="13.8" x14ac:dyDescent="0.25">
      <c r="A279" s="220">
        <v>39700</v>
      </c>
      <c r="B279" s="222" t="s">
        <v>407</v>
      </c>
      <c r="C279" s="245">
        <v>31745</v>
      </c>
    </row>
    <row r="280" spans="1:3" ht="13.8" x14ac:dyDescent="0.25">
      <c r="A280" s="220">
        <v>39703</v>
      </c>
      <c r="B280" s="222" t="s">
        <v>408</v>
      </c>
      <c r="C280" s="245">
        <v>2518</v>
      </c>
    </row>
    <row r="281" spans="1:3" ht="13.8" x14ac:dyDescent="0.25">
      <c r="A281" s="220">
        <v>39705</v>
      </c>
      <c r="B281" s="222" t="s">
        <v>110</v>
      </c>
      <c r="C281" s="245">
        <v>8603</v>
      </c>
    </row>
    <row r="282" spans="1:3" ht="13.8" x14ac:dyDescent="0.25">
      <c r="A282" s="220">
        <v>39800</v>
      </c>
      <c r="B282" s="222" t="s">
        <v>409</v>
      </c>
      <c r="C282" s="245">
        <v>32586</v>
      </c>
    </row>
    <row r="283" spans="1:3" ht="13.8" x14ac:dyDescent="0.25">
      <c r="A283" s="220">
        <v>39805</v>
      </c>
      <c r="B283" s="222" t="s">
        <v>111</v>
      </c>
      <c r="C283" s="245">
        <v>4351</v>
      </c>
    </row>
    <row r="284" spans="1:3" ht="13.8" x14ac:dyDescent="0.25">
      <c r="A284" s="220">
        <v>39900</v>
      </c>
      <c r="B284" s="222" t="s">
        <v>410</v>
      </c>
      <c r="C284" s="245">
        <v>19473</v>
      </c>
    </row>
    <row r="285" spans="1:3" ht="13.8" x14ac:dyDescent="0.25">
      <c r="A285" s="249">
        <v>40000</v>
      </c>
      <c r="B285" s="250" t="s">
        <v>411</v>
      </c>
      <c r="C285" s="245">
        <v>38116</v>
      </c>
    </row>
    <row r="286" spans="1:3" ht="13.8" x14ac:dyDescent="0.25">
      <c r="A286" s="251">
        <v>51000</v>
      </c>
      <c r="B286" s="250" t="s">
        <v>461</v>
      </c>
      <c r="C286" s="245">
        <v>272905</v>
      </c>
    </row>
    <row r="287" spans="1:3" ht="13.8" x14ac:dyDescent="0.25">
      <c r="A287" s="251">
        <v>51000.2</v>
      </c>
      <c r="B287" s="250" t="s">
        <v>462</v>
      </c>
      <c r="C287" s="245">
        <v>475</v>
      </c>
    </row>
    <row r="288" spans="1:3" ht="13.8" x14ac:dyDescent="0.25">
      <c r="A288" s="251">
        <v>51000.3</v>
      </c>
      <c r="B288" s="250" t="s">
        <v>800</v>
      </c>
      <c r="C288" s="245">
        <v>8259</v>
      </c>
    </row>
    <row r="289" spans="1:3" ht="13.8" x14ac:dyDescent="0.25">
      <c r="A289" s="251">
        <v>60000</v>
      </c>
      <c r="B289" s="250" t="s">
        <v>463</v>
      </c>
      <c r="C289" s="245">
        <v>1076</v>
      </c>
    </row>
    <row r="290" spans="1:3" ht="13.8" x14ac:dyDescent="0.25">
      <c r="A290" s="251">
        <v>90901</v>
      </c>
      <c r="B290" s="250" t="s">
        <v>412</v>
      </c>
      <c r="C290" s="245">
        <v>8168</v>
      </c>
    </row>
    <row r="291" spans="1:3" ht="13.8" x14ac:dyDescent="0.25">
      <c r="A291" s="220">
        <v>91041</v>
      </c>
      <c r="B291" s="222" t="s">
        <v>413</v>
      </c>
      <c r="C291" s="245">
        <v>2058</v>
      </c>
    </row>
    <row r="292" spans="1:3" ht="13.8" x14ac:dyDescent="0.25">
      <c r="A292" s="220">
        <v>91111</v>
      </c>
      <c r="B292" s="222" t="s">
        <v>414</v>
      </c>
      <c r="C292" s="245">
        <v>1121</v>
      </c>
    </row>
    <row r="293" spans="1:3" ht="13.8" x14ac:dyDescent="0.25">
      <c r="A293" s="220">
        <v>91151</v>
      </c>
      <c r="B293" s="222" t="s">
        <v>415</v>
      </c>
      <c r="C293" s="245">
        <v>2863</v>
      </c>
    </row>
    <row r="294" spans="1:3" ht="13.8" x14ac:dyDescent="0.25">
      <c r="A294" s="220">
        <v>98101</v>
      </c>
      <c r="B294" s="222" t="s">
        <v>416</v>
      </c>
      <c r="C294" s="245">
        <v>10974</v>
      </c>
    </row>
    <row r="295" spans="1:3" ht="13.8" x14ac:dyDescent="0.25">
      <c r="A295" s="220">
        <v>98103</v>
      </c>
      <c r="B295" s="222" t="s">
        <v>488</v>
      </c>
      <c r="C295" s="245">
        <v>1790</v>
      </c>
    </row>
    <row r="296" spans="1:3" ht="13.8" x14ac:dyDescent="0.25">
      <c r="A296" s="220">
        <v>98111</v>
      </c>
      <c r="B296" s="222" t="s">
        <v>417</v>
      </c>
      <c r="C296" s="245">
        <v>4464</v>
      </c>
    </row>
    <row r="297" spans="1:3" ht="13.8" x14ac:dyDescent="0.25">
      <c r="A297" s="249">
        <v>98131</v>
      </c>
      <c r="B297" s="250" t="s">
        <v>418</v>
      </c>
      <c r="C297" s="245">
        <v>1112</v>
      </c>
    </row>
    <row r="298" spans="1:3" ht="13.8" x14ac:dyDescent="0.25">
      <c r="A298" s="249">
        <v>99401</v>
      </c>
      <c r="B298" s="250" t="s">
        <v>419</v>
      </c>
      <c r="C298" s="245">
        <v>2798</v>
      </c>
    </row>
    <row r="299" spans="1:3" ht="13.8" x14ac:dyDescent="0.25">
      <c r="A299" s="249">
        <v>99521</v>
      </c>
      <c r="B299" s="250" t="s">
        <v>420</v>
      </c>
      <c r="C299" s="245">
        <v>2603</v>
      </c>
    </row>
    <row r="300" spans="1:3" ht="13.8" x14ac:dyDescent="0.25">
      <c r="A300" s="249">
        <v>99831</v>
      </c>
      <c r="B300" s="250" t="s">
        <v>421</v>
      </c>
      <c r="C300" s="245">
        <v>158</v>
      </c>
    </row>
    <row r="301" spans="1:3" ht="15.6" x14ac:dyDescent="0.3">
      <c r="A301" s="246"/>
      <c r="B301" s="247"/>
      <c r="C301" s="245"/>
    </row>
    <row r="302" spans="1:3" ht="15.6" x14ac:dyDescent="0.3">
      <c r="A302" s="246"/>
      <c r="B302" s="243"/>
      <c r="C302" s="245"/>
    </row>
    <row r="303" spans="1:3" ht="15.6" x14ac:dyDescent="0.3">
      <c r="A303" s="246"/>
      <c r="B303" s="248"/>
      <c r="C303" s="245"/>
    </row>
    <row r="304" spans="1:3" ht="15.6" x14ac:dyDescent="0.3">
      <c r="A304" s="246"/>
      <c r="B304" s="248"/>
      <c r="C304" s="245"/>
    </row>
    <row r="305" spans="1:3" ht="15.6" x14ac:dyDescent="0.3">
      <c r="A305" s="246"/>
      <c r="B305" s="248"/>
      <c r="C305" s="245"/>
    </row>
    <row r="306" spans="1:3" ht="15.6" x14ac:dyDescent="0.3">
      <c r="A306" s="246"/>
      <c r="B306" s="248"/>
      <c r="C306" s="245"/>
    </row>
    <row r="307" spans="1:3" ht="15.6" x14ac:dyDescent="0.3">
      <c r="A307" s="246"/>
      <c r="B307" s="248"/>
      <c r="C307" s="245"/>
    </row>
    <row r="308" spans="1:3" ht="15.6" x14ac:dyDescent="0.3">
      <c r="A308" s="246"/>
      <c r="B308" s="248"/>
      <c r="C308" s="245"/>
    </row>
    <row r="309" spans="1:3" ht="15.6" x14ac:dyDescent="0.3">
      <c r="A309" s="246"/>
      <c r="B309" s="248"/>
      <c r="C309" s="245"/>
    </row>
    <row r="310" spans="1:3" ht="15.6" x14ac:dyDescent="0.3">
      <c r="A310" s="246"/>
      <c r="B310" s="248"/>
      <c r="C310" s="245"/>
    </row>
    <row r="311" spans="1:3" ht="15.6" x14ac:dyDescent="0.3">
      <c r="A311" s="246"/>
      <c r="B311" s="243"/>
      <c r="C311" s="245"/>
    </row>
    <row r="312" spans="1:3" ht="15.6" x14ac:dyDescent="0.3">
      <c r="A312" s="246"/>
      <c r="B312" s="243"/>
      <c r="C312" s="245"/>
    </row>
    <row r="313" spans="1:3" ht="15.6" x14ac:dyDescent="0.3">
      <c r="A313" s="246"/>
      <c r="B313" s="243"/>
      <c r="C313" s="245"/>
    </row>
    <row r="314" spans="1:3" x14ac:dyDescent="0.25">
      <c r="C314" s="6">
        <f>SUM(C3:C313)</f>
        <v>10348007</v>
      </c>
    </row>
  </sheetData>
  <conditionalFormatting sqref="A45">
    <cfRule type="duplicateValues" dxfId="26" priority="1"/>
  </conditionalFormatting>
  <conditionalFormatting sqref="A46:A55 A3:A44">
    <cfRule type="duplicateValues" dxfId="25" priority="26"/>
  </conditionalFormatting>
  <conditionalFormatting sqref="A56">
    <cfRule type="duplicateValues" dxfId="24" priority="2"/>
  </conditionalFormatting>
  <conditionalFormatting sqref="A57 A280:A285 A292:A297">
    <cfRule type="duplicateValues" dxfId="23" priority="3"/>
  </conditionalFormatting>
  <conditionalFormatting sqref="A58:A98 A100:A109">
    <cfRule type="duplicateValues" dxfId="22" priority="4"/>
  </conditionalFormatting>
  <conditionalFormatting sqref="A99">
    <cfRule type="duplicateValues" dxfId="21" priority="5"/>
  </conditionalFormatting>
  <conditionalFormatting sqref="A110">
    <cfRule type="duplicateValues" dxfId="20" priority="6"/>
  </conditionalFormatting>
  <conditionalFormatting sqref="A111">
    <cfRule type="duplicateValues" dxfId="19" priority="7"/>
  </conditionalFormatting>
  <conditionalFormatting sqref="A112:A152 A154:A163">
    <cfRule type="duplicateValues" dxfId="18" priority="8"/>
  </conditionalFormatting>
  <conditionalFormatting sqref="A153">
    <cfRule type="duplicateValues" dxfId="17" priority="9"/>
  </conditionalFormatting>
  <conditionalFormatting sqref="A164">
    <cfRule type="duplicateValues" dxfId="16" priority="10"/>
  </conditionalFormatting>
  <conditionalFormatting sqref="A165">
    <cfRule type="duplicateValues" dxfId="15" priority="11"/>
  </conditionalFormatting>
  <conditionalFormatting sqref="A166:A206 A208:A217">
    <cfRule type="duplicateValues" dxfId="14" priority="12"/>
  </conditionalFormatting>
  <conditionalFormatting sqref="A207">
    <cfRule type="duplicateValues" dxfId="13" priority="13"/>
  </conditionalFormatting>
  <conditionalFormatting sqref="A218">
    <cfRule type="duplicateValues" dxfId="12" priority="14"/>
  </conditionalFormatting>
  <conditionalFormatting sqref="A219">
    <cfRule type="duplicateValues" dxfId="11" priority="15"/>
  </conditionalFormatting>
  <conditionalFormatting sqref="A220:A260 A262:A271">
    <cfRule type="duplicateValues" dxfId="10" priority="25"/>
  </conditionalFormatting>
  <conditionalFormatting sqref="A261">
    <cfRule type="duplicateValues" dxfId="9" priority="16"/>
  </conditionalFormatting>
  <conditionalFormatting sqref="A272">
    <cfRule type="duplicateValues" dxfId="8" priority="17"/>
  </conditionalFormatting>
  <conditionalFormatting sqref="A273">
    <cfRule type="duplicateValues" dxfId="7" priority="18"/>
  </conditionalFormatting>
  <conditionalFormatting sqref="A274:A277">
    <cfRule type="duplicateValues" dxfId="6" priority="19"/>
  </conditionalFormatting>
  <conditionalFormatting sqref="A278">
    <cfRule type="duplicateValues" dxfId="5" priority="20"/>
  </conditionalFormatting>
  <conditionalFormatting sqref="A279">
    <cfRule type="duplicateValues" dxfId="4" priority="21"/>
  </conditionalFormatting>
  <conditionalFormatting sqref="A286:A289">
    <cfRule type="duplicateValues" dxfId="3" priority="22"/>
  </conditionalFormatting>
  <conditionalFormatting sqref="A290">
    <cfRule type="duplicateValues" dxfId="2" priority="23"/>
  </conditionalFormatting>
  <conditionalFormatting sqref="A291">
    <cfRule type="duplicateValues" dxfId="1" priority="24"/>
  </conditionalFormatting>
  <conditionalFormatting sqref="A298:A300">
    <cfRule type="duplicateValues" dxfId="0" priority="27"/>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c2570d-002d-43d9-b4d8-cd927734fd5c">
      <Terms xmlns="http://schemas.microsoft.com/office/infopath/2007/PartnerControls"/>
    </lcf76f155ced4ddcb4097134ff3c332f>
    <TaxCatchAll xmlns="f1a921d8-526c-43e3-8a93-f9bf9ad796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DAD092CE268B4A9CFCAE20B18605CD" ma:contentTypeVersion="13" ma:contentTypeDescription="Create a new document." ma:contentTypeScope="" ma:versionID="816be3f1d84d830574610c903672ebdf">
  <xsd:schema xmlns:xsd="http://www.w3.org/2001/XMLSchema" xmlns:xs="http://www.w3.org/2001/XMLSchema" xmlns:p="http://schemas.microsoft.com/office/2006/metadata/properties" xmlns:ns2="3ec2570d-002d-43d9-b4d8-cd927734fd5c" xmlns:ns3="f1a921d8-526c-43e3-8a93-f9bf9ad79650" targetNamespace="http://schemas.microsoft.com/office/2006/metadata/properties" ma:root="true" ma:fieldsID="9dcbd1f1d7f7020188508df2d0d28f0b" ns2:_="" ns3:_="">
    <xsd:import namespace="3ec2570d-002d-43d9-b4d8-cd927734fd5c"/>
    <xsd:import namespace="f1a921d8-526c-43e3-8a93-f9bf9ad796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2570d-002d-43d9-b4d8-cd927734fd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a921d8-526c-43e3-8a93-f9bf9ad796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7866d6-2ba6-4cf9-bf73-e51f30d4693c}" ma:internalName="TaxCatchAll" ma:showField="CatchAllData" ma:web="f1a921d8-526c-43e3-8a93-f9bf9ad796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ADB8EA-4B91-47BC-962F-72D801815085}">
  <ds:schemaRefs>
    <ds:schemaRef ds:uri="http://purl.org/dc/terms/"/>
    <ds:schemaRef ds:uri="http://purl.org/dc/dcmitype/"/>
    <ds:schemaRef ds:uri="7db17633-6ab9-4c77-a901-7160f9eb8959"/>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563f23cf-f5d7-460c-8da3-480e214b7c18"/>
    <ds:schemaRef ds:uri="http://purl.org/dc/elements/1.1/"/>
    <ds:schemaRef ds:uri="3ec2570d-002d-43d9-b4d8-cd927734fd5c"/>
    <ds:schemaRef ds:uri="f1a921d8-526c-43e3-8a93-f9bf9ad79650"/>
  </ds:schemaRefs>
</ds:datastoreItem>
</file>

<file path=customXml/itemProps2.xml><?xml version="1.0" encoding="utf-8"?>
<ds:datastoreItem xmlns:ds="http://schemas.openxmlformats.org/officeDocument/2006/customXml" ds:itemID="{CD04DF85-1C18-4DC7-BD04-08BE94367B26}">
  <ds:schemaRefs>
    <ds:schemaRef ds:uri="http://schemas.microsoft.com/sharepoint/v3/contenttype/forms"/>
  </ds:schemaRefs>
</ds:datastoreItem>
</file>

<file path=customXml/itemProps3.xml><?xml version="1.0" encoding="utf-8"?>
<ds:datastoreItem xmlns:ds="http://schemas.openxmlformats.org/officeDocument/2006/customXml" ds:itemID="{96972962-5AEC-497A-B41A-D038C58E2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c2570d-002d-43d9-b4d8-cd927734fd5c"/>
    <ds:schemaRef ds:uri="f1a921d8-526c-43e3-8a93-f9bf9ad79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Info</vt:lpstr>
      <vt:lpstr>Detail</vt:lpstr>
      <vt:lpstr>Summary</vt:lpstr>
      <vt:lpstr>Disclosures</vt:lpstr>
      <vt:lpstr>Data</vt:lpstr>
      <vt:lpstr>ER Contributions</vt:lpstr>
      <vt:lpstr>75 - Summary Exhibit</vt:lpstr>
      <vt:lpstr>75- Deferred Amortization</vt:lpstr>
      <vt:lpstr>Noncap Contr Alloc</vt:lpstr>
      <vt:lpstr>CU_RHBFamts</vt:lpstr>
      <vt:lpstr>'75 - Summary Exhibit'!Print_Area</vt:lpstr>
      <vt:lpstr>'75- Deferred Amortization'!Print_Area</vt:lpstr>
      <vt:lpstr>Data!Print_Area</vt:lpstr>
      <vt:lpstr>Detail!Print_Area</vt:lpstr>
      <vt:lpstr>Disclosures!Print_Area</vt:lpstr>
      <vt:lpstr>'ER Contributions'!Print_Area</vt:lpstr>
      <vt:lpstr>Summary!Print_Area</vt:lpstr>
      <vt:lpstr>'75- Deferred Amortization'!Print_Titles</vt:lpstr>
      <vt:lpstr>Disclosures!Print_Titles</vt:lpstr>
    </vt:vector>
  </TitlesOfParts>
  <Company>State of North Carolina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 Murphy</dc:creator>
  <cp:lastModifiedBy>Virginia Sisson</cp:lastModifiedBy>
  <cp:lastPrinted>2023-05-03T17:44:02Z</cp:lastPrinted>
  <dcterms:created xsi:type="dcterms:W3CDTF">2007-09-03T15:01:56Z</dcterms:created>
  <dcterms:modified xsi:type="dcterms:W3CDTF">2025-06-13T15:19:47Z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0x01010028DAD092CE268B4A9CFCAE20B18605CD</vt:lpwstr>
  </property>
  <property fmtid="{D5CDD505-2E9C-101B-9397-08002B2CF9AE}" pid="5" name="Order">
    <vt:r8>15516600</vt:r8>
  </property>
  <property fmtid="{D5CDD505-2E9C-101B-9397-08002B2CF9AE}" pid="6" name="MSIP_Label_defa4170-0d19-0005-0004-bc88714345d2_Enabled">
    <vt:lpwstr>true</vt:lpwstr>
  </property>
  <property fmtid="{D5CDD505-2E9C-101B-9397-08002B2CF9AE}" pid="7" name="MSIP_Label_defa4170-0d19-0005-0004-bc88714345d2_SetDate">
    <vt:lpwstr>2024-04-30T18:56:58Z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a1f43f48-54fe-433f-9378-968b45bc6665</vt:lpwstr>
  </property>
  <property fmtid="{D5CDD505-2E9C-101B-9397-08002B2CF9AE}" pid="11" name="MSIP_Label_defa4170-0d19-0005-0004-bc88714345d2_ActionId">
    <vt:lpwstr>0e1ad1b7-7fd6-45de-873d-374134cfdbb9</vt:lpwstr>
  </property>
  <property fmtid="{D5CDD505-2E9C-101B-9397-08002B2CF9AE}" pid="12" name="MSIP_Label_defa4170-0d19-0005-0004-bc88714345d2_ContentBits">
    <vt:lpwstr>0</vt:lpwstr>
  </property>
  <property fmtid="{D5CDD505-2E9C-101B-9397-08002B2CF9AE}" pid="13" name="MediaServiceImageTags">
    <vt:lpwstr/>
  </property>
</Properties>
</file>