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K:\SASD\25CAFR\GASB 75 Templates\"/>
    </mc:Choice>
  </mc:AlternateContent>
  <xr:revisionPtr revIDLastSave="0" documentId="8_{85A3C5E2-A66E-4AB8-833C-3E46DD3E0BE8}" xr6:coauthVersionLast="47" xr6:coauthVersionMax="47" xr10:uidLastSave="{00000000-0000-0000-0000-000000000000}"/>
  <bookViews>
    <workbookView xWindow="-73275" yWindow="0" windowWidth="34860" windowHeight="20985" tabRatio="824" xr2:uid="{00000000-000D-0000-FFFF-FFFF00000000}"/>
  </bookViews>
  <sheets>
    <sheet name="Info" sheetId="5" r:id="rId1"/>
    <sheet name="Detail" sheetId="1" r:id="rId2"/>
    <sheet name="Summary" sheetId="2" r:id="rId3"/>
    <sheet name="Disclosures" sheetId="3" r:id="rId4"/>
    <sheet name="Data" sheetId="4" state="hidden" r:id="rId5"/>
    <sheet name="ER Contributions" sheetId="6" state="hidden" r:id="rId6"/>
    <sheet name="75 - Summary Exhibit" sheetId="9" state="hidden" r:id="rId7"/>
    <sheet name="75- Deferred Amortization" sheetId="10" state="hidden" r:id="rId8"/>
    <sheet name="NOPEB asset change" sheetId="11" state="hidden" r:id="rId9"/>
    <sheet name="CU_DIPNCamts" sheetId="12" state="hidden" r:id="rId10"/>
  </sheets>
  <definedNames>
    <definedName name="_xlnm.Print_Area" localSheetId="6">'75 - Summary Exhibit'!$A$1:$N$3</definedName>
    <definedName name="_xlnm.Print_Area" localSheetId="7">'75- Deferred Amortization'!$A$1:$H$300</definedName>
    <definedName name="_xlnm.Print_Area" localSheetId="4">Data!$A$1:$AK$88</definedName>
    <definedName name="_xlnm.Print_Area" localSheetId="1">Detail!$A$1:$G$65</definedName>
    <definedName name="_xlnm.Print_Area" localSheetId="3">Disclosures!$A$6:$J$76</definedName>
    <definedName name="_xlnm.Print_Area" localSheetId="5">'ER Contributions'!$A$1:$D$298</definedName>
    <definedName name="_xlnm.Print_Area" localSheetId="2">Summary!$A$1:$I$22</definedName>
    <definedName name="_xlnm.Print_Titles" localSheetId="7">'75- Deferred Amortization'!$2:$3</definedName>
    <definedName name="_xlnm.Print_Titles" localSheetId="4">Data!$2:$3</definedName>
    <definedName name="_xlnm.Print_Titles" localSheetId="3">Disclosures!$1:$4</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85" i="12" l="1"/>
  <c r="D3" i="12"/>
  <c r="D4" i="12"/>
  <c r="D5" i="12"/>
  <c r="D6" i="12"/>
  <c r="D7" i="12"/>
  <c r="D8" i="12"/>
  <c r="D9" i="12"/>
  <c r="D10" i="12"/>
  <c r="D11" i="12"/>
  <c r="D12" i="12"/>
  <c r="D13" i="12"/>
  <c r="D14" i="12"/>
  <c r="D15" i="12"/>
  <c r="D16" i="12"/>
  <c r="D17" i="12"/>
  <c r="D18" i="12"/>
  <c r="D19" i="12"/>
  <c r="D20" i="12"/>
  <c r="D21" i="12"/>
  <c r="D22" i="12"/>
  <c r="D23" i="12"/>
  <c r="D24" i="12"/>
  <c r="D25" i="12"/>
  <c r="D26" i="12"/>
  <c r="D27" i="12"/>
  <c r="D28" i="12"/>
  <c r="D29" i="12"/>
  <c r="D30" i="12"/>
  <c r="D31" i="12"/>
  <c r="D32" i="12"/>
  <c r="D33" i="12"/>
  <c r="D34" i="12"/>
  <c r="D35" i="12"/>
  <c r="D36" i="12"/>
  <c r="D37" i="12"/>
  <c r="D38" i="12"/>
  <c r="D39" i="12"/>
  <c r="D40" i="12"/>
  <c r="D41" i="12"/>
  <c r="D42" i="12"/>
  <c r="D43" i="12"/>
  <c r="D44" i="12"/>
  <c r="D45" i="12"/>
  <c r="D46" i="12"/>
  <c r="D47" i="12"/>
  <c r="D48" i="12"/>
  <c r="D49" i="12"/>
  <c r="D50" i="12"/>
  <c r="D51" i="12"/>
  <c r="D52" i="12"/>
  <c r="D53" i="12"/>
  <c r="D54" i="12"/>
  <c r="D55" i="12"/>
  <c r="D56" i="12"/>
  <c r="D57" i="12"/>
  <c r="D58" i="12"/>
  <c r="D59" i="12"/>
  <c r="D60" i="12"/>
  <c r="D61" i="12"/>
  <c r="D62" i="12"/>
  <c r="D63" i="12"/>
  <c r="D64" i="12"/>
  <c r="D65" i="12"/>
  <c r="D66" i="12"/>
  <c r="D67" i="12"/>
  <c r="D68" i="12"/>
  <c r="D69" i="12"/>
  <c r="D70" i="12"/>
  <c r="D71" i="12"/>
  <c r="D72" i="12"/>
  <c r="D73" i="12"/>
  <c r="D74" i="12"/>
  <c r="D75" i="12"/>
  <c r="D76" i="12"/>
  <c r="D77" i="12"/>
  <c r="D78" i="12"/>
  <c r="D79" i="12"/>
  <c r="D80" i="12"/>
  <c r="D81" i="12"/>
  <c r="D82" i="12"/>
  <c r="D83" i="12"/>
  <c r="D2" i="12"/>
  <c r="C3" i="12" l="1"/>
  <c r="C4" i="12"/>
  <c r="C5" i="12"/>
  <c r="C6" i="12"/>
  <c r="C7" i="12"/>
  <c r="C8" i="12"/>
  <c r="C9" i="12"/>
  <c r="C10" i="12"/>
  <c r="C11" i="12"/>
  <c r="C12" i="12"/>
  <c r="C13" i="12"/>
  <c r="C14" i="12"/>
  <c r="C15" i="12"/>
  <c r="C16" i="12"/>
  <c r="C17" i="12"/>
  <c r="C18" i="12"/>
  <c r="C19" i="12"/>
  <c r="C20" i="12"/>
  <c r="C21" i="12"/>
  <c r="C22" i="12"/>
  <c r="C23" i="12"/>
  <c r="C24" i="12"/>
  <c r="C25" i="12"/>
  <c r="C26" i="12"/>
  <c r="C27" i="12"/>
  <c r="C28" i="12"/>
  <c r="C29" i="12"/>
  <c r="C30" i="12"/>
  <c r="C31" i="12"/>
  <c r="C32" i="12"/>
  <c r="C33" i="12"/>
  <c r="C34" i="12"/>
  <c r="C35" i="12"/>
  <c r="C36" i="12"/>
  <c r="C37" i="12"/>
  <c r="C38" i="12"/>
  <c r="C39" i="12"/>
  <c r="C40" i="12"/>
  <c r="C41" i="12"/>
  <c r="C42" i="12"/>
  <c r="C43" i="12"/>
  <c r="C44" i="12"/>
  <c r="C45" i="12"/>
  <c r="C46" i="12"/>
  <c r="C47" i="12"/>
  <c r="C48" i="12"/>
  <c r="C49" i="12"/>
  <c r="C50" i="12"/>
  <c r="C51" i="12"/>
  <c r="C52" i="12"/>
  <c r="C53" i="12"/>
  <c r="C54" i="12"/>
  <c r="C55" i="12"/>
  <c r="C56" i="12"/>
  <c r="C57" i="12"/>
  <c r="C58" i="12"/>
  <c r="C59" i="12"/>
  <c r="C60" i="12"/>
  <c r="C61" i="12"/>
  <c r="C62" i="12"/>
  <c r="C63" i="12"/>
  <c r="C64" i="12"/>
  <c r="C65" i="12"/>
  <c r="C66" i="12"/>
  <c r="C67" i="12"/>
  <c r="C68" i="12"/>
  <c r="C69" i="12"/>
  <c r="C70" i="12"/>
  <c r="C71" i="12"/>
  <c r="C72" i="12"/>
  <c r="C73" i="12"/>
  <c r="C74" i="12"/>
  <c r="C75" i="12"/>
  <c r="C76" i="12"/>
  <c r="C77" i="12"/>
  <c r="C78" i="12"/>
  <c r="C79" i="12"/>
  <c r="C80" i="12"/>
  <c r="C81" i="12"/>
  <c r="C82" i="12"/>
  <c r="C83" i="12"/>
  <c r="C2" i="12"/>
  <c r="C85" i="12" l="1"/>
  <c r="O5" i="9" l="1"/>
  <c r="O6" i="9"/>
  <c r="O7" i="9"/>
  <c r="O8" i="9"/>
  <c r="O9" i="9"/>
  <c r="O10" i="9"/>
  <c r="O11" i="9"/>
  <c r="O12" i="9"/>
  <c r="O13" i="9"/>
  <c r="O14" i="9"/>
  <c r="O15" i="9"/>
  <c r="O16" i="9"/>
  <c r="O17" i="9"/>
  <c r="O18" i="9"/>
  <c r="O19" i="9"/>
  <c r="O20" i="9"/>
  <c r="O21" i="9"/>
  <c r="O22" i="9"/>
  <c r="O23" i="9"/>
  <c r="O24" i="9"/>
  <c r="O25" i="9"/>
  <c r="O26" i="9"/>
  <c r="O27" i="9"/>
  <c r="O28" i="9"/>
  <c r="O29" i="9"/>
  <c r="O30" i="9"/>
  <c r="O31" i="9"/>
  <c r="O32" i="9"/>
  <c r="O33" i="9"/>
  <c r="O34" i="9"/>
  <c r="O35" i="9"/>
  <c r="O36" i="9"/>
  <c r="O37" i="9"/>
  <c r="O38" i="9"/>
  <c r="O39" i="9"/>
  <c r="O40" i="9"/>
  <c r="O41" i="9"/>
  <c r="O42" i="9"/>
  <c r="O43" i="9"/>
  <c r="O44" i="9"/>
  <c r="O45" i="9"/>
  <c r="O46" i="9"/>
  <c r="O47" i="9"/>
  <c r="O48" i="9"/>
  <c r="O49" i="9"/>
  <c r="O50" i="9"/>
  <c r="O51" i="9"/>
  <c r="O52" i="9"/>
  <c r="O53" i="9"/>
  <c r="O54" i="9"/>
  <c r="O55" i="9"/>
  <c r="O56" i="9"/>
  <c r="O57" i="9"/>
  <c r="O58" i="9"/>
  <c r="O59" i="9"/>
  <c r="O60" i="9"/>
  <c r="O61" i="9"/>
  <c r="O62" i="9"/>
  <c r="O63" i="9"/>
  <c r="O64" i="9"/>
  <c r="O65" i="9"/>
  <c r="O66" i="9"/>
  <c r="O67" i="9"/>
  <c r="O68" i="9"/>
  <c r="O69" i="9"/>
  <c r="O70" i="9"/>
  <c r="O71" i="9"/>
  <c r="O72" i="9"/>
  <c r="O73" i="9"/>
  <c r="O74" i="9"/>
  <c r="O75" i="9"/>
  <c r="O76" i="9"/>
  <c r="O77" i="9"/>
  <c r="O78" i="9"/>
  <c r="O79" i="9"/>
  <c r="O80" i="9"/>
  <c r="O81" i="9"/>
  <c r="O82" i="9"/>
  <c r="O83" i="9"/>
  <c r="O84" i="9"/>
  <c r="O85" i="9"/>
  <c r="O86" i="9"/>
  <c r="O87" i="9"/>
  <c r="O88" i="9"/>
  <c r="O89" i="9"/>
  <c r="O90" i="9"/>
  <c r="O91" i="9"/>
  <c r="O92" i="9"/>
  <c r="O93" i="9"/>
  <c r="O94" i="9"/>
  <c r="O95" i="9"/>
  <c r="O96" i="9"/>
  <c r="O97" i="9"/>
  <c r="O98" i="9"/>
  <c r="O99" i="9"/>
  <c r="O100" i="9"/>
  <c r="O101" i="9"/>
  <c r="O102" i="9"/>
  <c r="O103" i="9"/>
  <c r="O104" i="9"/>
  <c r="O105" i="9"/>
  <c r="O106" i="9"/>
  <c r="O107" i="9"/>
  <c r="O108" i="9"/>
  <c r="O109" i="9"/>
  <c r="O110" i="9"/>
  <c r="O111" i="9"/>
  <c r="O112" i="9"/>
  <c r="O113" i="9"/>
  <c r="O114" i="9"/>
  <c r="O115" i="9"/>
  <c r="O116" i="9"/>
  <c r="O117" i="9"/>
  <c r="O118" i="9"/>
  <c r="O119" i="9"/>
  <c r="O120" i="9"/>
  <c r="O121" i="9"/>
  <c r="O122" i="9"/>
  <c r="O123" i="9"/>
  <c r="O124" i="9"/>
  <c r="O125" i="9"/>
  <c r="O126" i="9"/>
  <c r="O127" i="9"/>
  <c r="O128" i="9"/>
  <c r="O129" i="9"/>
  <c r="O130" i="9"/>
  <c r="O131" i="9"/>
  <c r="O132" i="9"/>
  <c r="O133" i="9"/>
  <c r="O134" i="9"/>
  <c r="O135" i="9"/>
  <c r="O136" i="9"/>
  <c r="O137" i="9"/>
  <c r="O138" i="9"/>
  <c r="O139" i="9"/>
  <c r="O140" i="9"/>
  <c r="O141" i="9"/>
  <c r="O142" i="9"/>
  <c r="O143" i="9"/>
  <c r="O144" i="9"/>
  <c r="O145" i="9"/>
  <c r="O146" i="9"/>
  <c r="O147" i="9"/>
  <c r="O148" i="9"/>
  <c r="O149" i="9"/>
  <c r="O150" i="9"/>
  <c r="O151" i="9"/>
  <c r="O152" i="9"/>
  <c r="O153" i="9"/>
  <c r="O154" i="9"/>
  <c r="O155" i="9"/>
  <c r="O156" i="9"/>
  <c r="O157" i="9"/>
  <c r="O158" i="9"/>
  <c r="O159" i="9"/>
  <c r="O160" i="9"/>
  <c r="O161" i="9"/>
  <c r="O162" i="9"/>
  <c r="O163" i="9"/>
  <c r="O164" i="9"/>
  <c r="O165" i="9"/>
  <c r="O166" i="9"/>
  <c r="O167" i="9"/>
  <c r="O168" i="9"/>
  <c r="O169" i="9"/>
  <c r="O170" i="9"/>
  <c r="O171" i="9"/>
  <c r="O172" i="9"/>
  <c r="O173" i="9"/>
  <c r="O174" i="9"/>
  <c r="O175" i="9"/>
  <c r="O176" i="9"/>
  <c r="O177" i="9"/>
  <c r="O178" i="9"/>
  <c r="O179" i="9"/>
  <c r="O180" i="9"/>
  <c r="O181" i="9"/>
  <c r="O182" i="9"/>
  <c r="O183" i="9"/>
  <c r="O184" i="9"/>
  <c r="O185" i="9"/>
  <c r="O186" i="9"/>
  <c r="O187" i="9"/>
  <c r="O188" i="9"/>
  <c r="O189" i="9"/>
  <c r="O190" i="9"/>
  <c r="O191" i="9"/>
  <c r="O192" i="9"/>
  <c r="O193" i="9"/>
  <c r="O194" i="9"/>
  <c r="O195" i="9"/>
  <c r="O196" i="9"/>
  <c r="O197" i="9"/>
  <c r="O198" i="9"/>
  <c r="O199" i="9"/>
  <c r="O200" i="9"/>
  <c r="O201" i="9"/>
  <c r="O202" i="9"/>
  <c r="O203" i="9"/>
  <c r="O204" i="9"/>
  <c r="O205" i="9"/>
  <c r="O206" i="9"/>
  <c r="O207" i="9"/>
  <c r="O208" i="9"/>
  <c r="O209" i="9"/>
  <c r="O210" i="9"/>
  <c r="O211" i="9"/>
  <c r="O212" i="9"/>
  <c r="O213" i="9"/>
  <c r="O214" i="9"/>
  <c r="O215" i="9"/>
  <c r="O216" i="9"/>
  <c r="O217" i="9"/>
  <c r="O218" i="9"/>
  <c r="O219" i="9"/>
  <c r="O220" i="9"/>
  <c r="O221" i="9"/>
  <c r="O222" i="9"/>
  <c r="O223" i="9"/>
  <c r="O224" i="9"/>
  <c r="O225" i="9"/>
  <c r="O226" i="9"/>
  <c r="O227" i="9"/>
  <c r="O228" i="9"/>
  <c r="O229" i="9"/>
  <c r="O230" i="9"/>
  <c r="O231" i="9"/>
  <c r="O232" i="9"/>
  <c r="O233" i="9"/>
  <c r="O234" i="9"/>
  <c r="O235" i="9"/>
  <c r="O236" i="9"/>
  <c r="O237" i="9"/>
  <c r="O238" i="9"/>
  <c r="O239" i="9"/>
  <c r="O240" i="9"/>
  <c r="O241" i="9"/>
  <c r="O242" i="9"/>
  <c r="O243" i="9"/>
  <c r="O244" i="9"/>
  <c r="O245" i="9"/>
  <c r="O246" i="9"/>
  <c r="O247" i="9"/>
  <c r="O248" i="9"/>
  <c r="O249" i="9"/>
  <c r="O250" i="9"/>
  <c r="O251" i="9"/>
  <c r="O252" i="9"/>
  <c r="O253" i="9"/>
  <c r="O254" i="9"/>
  <c r="O255" i="9"/>
  <c r="O256" i="9"/>
  <c r="O257" i="9"/>
  <c r="O258" i="9"/>
  <c r="O259" i="9"/>
  <c r="O260" i="9"/>
  <c r="O261" i="9"/>
  <c r="O262" i="9"/>
  <c r="O263" i="9"/>
  <c r="O264" i="9"/>
  <c r="O265" i="9"/>
  <c r="O266" i="9"/>
  <c r="O267" i="9"/>
  <c r="O268" i="9"/>
  <c r="O269" i="9"/>
  <c r="O270" i="9"/>
  <c r="O271" i="9"/>
  <c r="O272" i="9"/>
  <c r="O273" i="9"/>
  <c r="O274" i="9"/>
  <c r="O275" i="9"/>
  <c r="O276" i="9"/>
  <c r="O277" i="9"/>
  <c r="O278" i="9"/>
  <c r="O279" i="9"/>
  <c r="O280" i="9"/>
  <c r="O281" i="9"/>
  <c r="O282" i="9"/>
  <c r="O283" i="9"/>
  <c r="O284" i="9"/>
  <c r="O285" i="9"/>
  <c r="O286" i="9"/>
  <c r="O287" i="9"/>
  <c r="O288" i="9"/>
  <c r="O289" i="9"/>
  <c r="O290" i="9"/>
  <c r="O291" i="9"/>
  <c r="O292" i="9"/>
  <c r="O293" i="9"/>
  <c r="O294" i="9"/>
  <c r="O295" i="9"/>
  <c r="O296" i="9"/>
  <c r="O297" i="9"/>
  <c r="O298" i="9"/>
  <c r="O299" i="9"/>
  <c r="O300" i="9"/>
  <c r="O4" i="9"/>
  <c r="AB6" i="4" l="1"/>
  <c r="AB7" i="4"/>
  <c r="AB8" i="4"/>
  <c r="AB9" i="4"/>
  <c r="AB10" i="4"/>
  <c r="AB11" i="4"/>
  <c r="AB12" i="4"/>
  <c r="AB13" i="4"/>
  <c r="AB14" i="4"/>
  <c r="AB15" i="4"/>
  <c r="AB16" i="4"/>
  <c r="AB17" i="4"/>
  <c r="AB18" i="4"/>
  <c r="AB19" i="4"/>
  <c r="AB20" i="4"/>
  <c r="AB21" i="4"/>
  <c r="AB22" i="4"/>
  <c r="AB23" i="4"/>
  <c r="AB24" i="4"/>
  <c r="AB25" i="4"/>
  <c r="AB26" i="4"/>
  <c r="AB27" i="4"/>
  <c r="AB28" i="4"/>
  <c r="AB29" i="4"/>
  <c r="AB30" i="4"/>
  <c r="AB31" i="4"/>
  <c r="AB32" i="4"/>
  <c r="AB33" i="4"/>
  <c r="AB34" i="4"/>
  <c r="AB35" i="4"/>
  <c r="AB36" i="4"/>
  <c r="AB37" i="4"/>
  <c r="AB38" i="4"/>
  <c r="AB39" i="4"/>
  <c r="AB40" i="4"/>
  <c r="AB41" i="4"/>
  <c r="AB42" i="4"/>
  <c r="AB43" i="4"/>
  <c r="AB44" i="4"/>
  <c r="AB45" i="4"/>
  <c r="AB46" i="4"/>
  <c r="AB47" i="4"/>
  <c r="AB48" i="4"/>
  <c r="AB49" i="4"/>
  <c r="AB50" i="4"/>
  <c r="AB51" i="4"/>
  <c r="AB52" i="4"/>
  <c r="AB53" i="4"/>
  <c r="AB54" i="4"/>
  <c r="AB55" i="4"/>
  <c r="AB56" i="4"/>
  <c r="AB57" i="4"/>
  <c r="AB58" i="4"/>
  <c r="AB59" i="4"/>
  <c r="AB60" i="4"/>
  <c r="AB61" i="4"/>
  <c r="AB62" i="4"/>
  <c r="AB63" i="4"/>
  <c r="AB64" i="4"/>
  <c r="AB65" i="4"/>
  <c r="AB66" i="4"/>
  <c r="AB67" i="4"/>
  <c r="AB68" i="4"/>
  <c r="AB69" i="4"/>
  <c r="AB70" i="4"/>
  <c r="AB71" i="4"/>
  <c r="AB72" i="4"/>
  <c r="AB73" i="4"/>
  <c r="AB74" i="4"/>
  <c r="AB75" i="4"/>
  <c r="AB76" i="4"/>
  <c r="AB77" i="4"/>
  <c r="AB78" i="4"/>
  <c r="AB79" i="4"/>
  <c r="AB80" i="4"/>
  <c r="AB81" i="4"/>
  <c r="AB82" i="4"/>
  <c r="AB83" i="4"/>
  <c r="AB84" i="4"/>
  <c r="AB85" i="4"/>
  <c r="AB86" i="4"/>
  <c r="AB87" i="4"/>
  <c r="AB88" i="4"/>
  <c r="H4" i="11"/>
  <c r="H5" i="11"/>
  <c r="H6" i="11"/>
  <c r="H7" i="11"/>
  <c r="H8" i="11"/>
  <c r="H9" i="11"/>
  <c r="H10" i="11"/>
  <c r="H11" i="11"/>
  <c r="H12" i="11"/>
  <c r="H13" i="11"/>
  <c r="H14" i="11"/>
  <c r="H15" i="11"/>
  <c r="H16" i="11"/>
  <c r="H17" i="11"/>
  <c r="H18" i="11"/>
  <c r="H19" i="11"/>
  <c r="H20" i="11"/>
  <c r="H21" i="11"/>
  <c r="H22" i="11"/>
  <c r="H23" i="11"/>
  <c r="H24" i="11"/>
  <c r="H25" i="11"/>
  <c r="H26" i="11"/>
  <c r="H27" i="11"/>
  <c r="H28" i="11"/>
  <c r="H29" i="11"/>
  <c r="H30" i="11"/>
  <c r="H31" i="11"/>
  <c r="H32" i="11"/>
  <c r="H33" i="11"/>
  <c r="H34" i="11"/>
  <c r="H35" i="11"/>
  <c r="H36" i="11"/>
  <c r="H37" i="11"/>
  <c r="H38" i="11"/>
  <c r="H39" i="11"/>
  <c r="H40" i="11"/>
  <c r="H41" i="11"/>
  <c r="H42" i="11"/>
  <c r="H43" i="11"/>
  <c r="H44" i="11"/>
  <c r="H45" i="11"/>
  <c r="H46" i="11"/>
  <c r="H47" i="11"/>
  <c r="H48" i="11"/>
  <c r="H49" i="11"/>
  <c r="H50" i="11"/>
  <c r="H51" i="11"/>
  <c r="H52" i="11"/>
  <c r="H53" i="11"/>
  <c r="H54" i="11"/>
  <c r="H55" i="11"/>
  <c r="H56" i="11"/>
  <c r="H57" i="11"/>
  <c r="H58" i="11"/>
  <c r="H59" i="11"/>
  <c r="H60" i="11"/>
  <c r="H61" i="11"/>
  <c r="H62" i="11"/>
  <c r="H63" i="11"/>
  <c r="H64" i="11"/>
  <c r="H65" i="11"/>
  <c r="H66" i="11"/>
  <c r="H67" i="11"/>
  <c r="H68" i="11"/>
  <c r="H69" i="11"/>
  <c r="H70" i="11"/>
  <c r="H71" i="11"/>
  <c r="H72" i="11"/>
  <c r="H73" i="11"/>
  <c r="H74" i="11"/>
  <c r="H75" i="11"/>
  <c r="H76" i="11"/>
  <c r="H77" i="11"/>
  <c r="H78" i="11"/>
  <c r="H79" i="11"/>
  <c r="H80" i="11"/>
  <c r="H81" i="11"/>
  <c r="H82" i="11"/>
  <c r="H83" i="11"/>
  <c r="H84" i="11"/>
  <c r="G4" i="11"/>
  <c r="G5" i="11"/>
  <c r="G6" i="11"/>
  <c r="G7" i="11"/>
  <c r="G8" i="11"/>
  <c r="G9" i="11"/>
  <c r="G10" i="11"/>
  <c r="G11" i="11"/>
  <c r="G12" i="11"/>
  <c r="G13" i="11"/>
  <c r="G14" i="11"/>
  <c r="G15" i="11"/>
  <c r="G16" i="11"/>
  <c r="G17" i="11"/>
  <c r="G18" i="11"/>
  <c r="G19" i="11"/>
  <c r="G20" i="11"/>
  <c r="G21" i="11"/>
  <c r="G22" i="11"/>
  <c r="G23" i="11"/>
  <c r="G24" i="11"/>
  <c r="G25" i="11"/>
  <c r="G26" i="11"/>
  <c r="G27" i="11"/>
  <c r="G28" i="11"/>
  <c r="G29" i="11"/>
  <c r="G30" i="11"/>
  <c r="G31" i="11"/>
  <c r="G32" i="11"/>
  <c r="G33" i="11"/>
  <c r="G34" i="11"/>
  <c r="G35" i="11"/>
  <c r="G36" i="11"/>
  <c r="G37" i="11"/>
  <c r="G38" i="11"/>
  <c r="G39" i="11"/>
  <c r="G40" i="11"/>
  <c r="G41" i="11"/>
  <c r="G42" i="11"/>
  <c r="G43" i="11"/>
  <c r="G44" i="11"/>
  <c r="G45" i="11"/>
  <c r="G46" i="11"/>
  <c r="G47" i="11"/>
  <c r="G48" i="11"/>
  <c r="G49" i="11"/>
  <c r="G50" i="11"/>
  <c r="G51" i="11"/>
  <c r="G52" i="11"/>
  <c r="G53" i="11"/>
  <c r="G54" i="11"/>
  <c r="G55" i="11"/>
  <c r="G56" i="11"/>
  <c r="G57" i="11"/>
  <c r="G58" i="11"/>
  <c r="G59" i="11"/>
  <c r="G60" i="11"/>
  <c r="G61" i="11"/>
  <c r="G62" i="11"/>
  <c r="G63" i="11"/>
  <c r="G64" i="11"/>
  <c r="G65" i="11"/>
  <c r="G66" i="11"/>
  <c r="G67" i="11"/>
  <c r="G68" i="11"/>
  <c r="G69" i="11"/>
  <c r="G70" i="11"/>
  <c r="G71" i="11"/>
  <c r="G72" i="11"/>
  <c r="G73" i="11"/>
  <c r="G74" i="11"/>
  <c r="G75" i="11"/>
  <c r="G76" i="11"/>
  <c r="G77" i="11"/>
  <c r="G78" i="11"/>
  <c r="G79" i="11"/>
  <c r="G80" i="11"/>
  <c r="G81" i="11"/>
  <c r="G82" i="11"/>
  <c r="G83" i="11"/>
  <c r="G84" i="11"/>
  <c r="F4" i="11"/>
  <c r="F5" i="11"/>
  <c r="F6" i="11"/>
  <c r="F7" i="11"/>
  <c r="F8" i="11"/>
  <c r="F9" i="11"/>
  <c r="F10" i="11"/>
  <c r="F11" i="11"/>
  <c r="F12" i="11"/>
  <c r="F13" i="11"/>
  <c r="F14" i="11"/>
  <c r="F15" i="11"/>
  <c r="F16" i="11"/>
  <c r="F17" i="11"/>
  <c r="F18" i="11"/>
  <c r="F19" i="11"/>
  <c r="F20" i="11"/>
  <c r="F21" i="11"/>
  <c r="F22" i="11"/>
  <c r="F23" i="11"/>
  <c r="F24" i="11"/>
  <c r="F25" i="11"/>
  <c r="F26" i="11"/>
  <c r="F27" i="11"/>
  <c r="F28" i="11"/>
  <c r="F29" i="11"/>
  <c r="F30" i="11"/>
  <c r="F31" i="11"/>
  <c r="F32" i="11"/>
  <c r="F33" i="11"/>
  <c r="F34" i="11"/>
  <c r="F35" i="11"/>
  <c r="F36" i="11"/>
  <c r="F37" i="11"/>
  <c r="F38" i="11"/>
  <c r="F39" i="11"/>
  <c r="F40" i="11"/>
  <c r="F41" i="11"/>
  <c r="F42" i="11"/>
  <c r="F43" i="11"/>
  <c r="F44" i="11"/>
  <c r="F45" i="11"/>
  <c r="F46" i="11"/>
  <c r="F47" i="11"/>
  <c r="F48" i="11"/>
  <c r="F49" i="11"/>
  <c r="F50" i="11"/>
  <c r="F51" i="11"/>
  <c r="F52" i="11"/>
  <c r="F53" i="11"/>
  <c r="F54" i="11"/>
  <c r="F55" i="11"/>
  <c r="F56" i="11"/>
  <c r="F57" i="11"/>
  <c r="F58" i="11"/>
  <c r="F59" i="11"/>
  <c r="F60" i="11"/>
  <c r="F61" i="11"/>
  <c r="F62" i="11"/>
  <c r="F63" i="11"/>
  <c r="F64" i="11"/>
  <c r="F65" i="11"/>
  <c r="F66" i="11"/>
  <c r="F67" i="11"/>
  <c r="F68" i="11"/>
  <c r="F69" i="11"/>
  <c r="F70" i="11"/>
  <c r="F71" i="11"/>
  <c r="F72" i="11"/>
  <c r="F73" i="11"/>
  <c r="F74" i="11"/>
  <c r="F75" i="11"/>
  <c r="F76" i="11"/>
  <c r="F77" i="11"/>
  <c r="F78" i="11"/>
  <c r="F79" i="11"/>
  <c r="F80" i="11"/>
  <c r="F81" i="11"/>
  <c r="F82" i="11"/>
  <c r="F83" i="11"/>
  <c r="F84" i="11"/>
  <c r="E4" i="11"/>
  <c r="E5" i="11"/>
  <c r="E6" i="11"/>
  <c r="E7" i="11"/>
  <c r="E8" i="11"/>
  <c r="E9" i="11"/>
  <c r="E10" i="11"/>
  <c r="E11" i="11"/>
  <c r="E12" i="11"/>
  <c r="E13" i="11"/>
  <c r="E14" i="11"/>
  <c r="E15" i="11"/>
  <c r="E16" i="11"/>
  <c r="E17" i="11"/>
  <c r="E18" i="11"/>
  <c r="E19" i="11"/>
  <c r="E20" i="11"/>
  <c r="E21" i="11"/>
  <c r="E22" i="11"/>
  <c r="E23" i="11"/>
  <c r="E24" i="11"/>
  <c r="E25" i="11"/>
  <c r="E26" i="11"/>
  <c r="E27" i="11"/>
  <c r="E28" i="11"/>
  <c r="E29" i="11"/>
  <c r="E30" i="11"/>
  <c r="E31" i="11"/>
  <c r="E32" i="11"/>
  <c r="E33" i="11"/>
  <c r="E34" i="11"/>
  <c r="E35" i="11"/>
  <c r="E36" i="11"/>
  <c r="E37" i="11"/>
  <c r="E38" i="11"/>
  <c r="E39" i="11"/>
  <c r="E40" i="11"/>
  <c r="E41" i="11"/>
  <c r="E42" i="11"/>
  <c r="E43" i="11"/>
  <c r="E44" i="11"/>
  <c r="E45" i="11"/>
  <c r="E46" i="11"/>
  <c r="E47" i="11"/>
  <c r="E48" i="11"/>
  <c r="E49" i="11"/>
  <c r="E50" i="11"/>
  <c r="E51" i="11"/>
  <c r="E52" i="11"/>
  <c r="E53" i="11"/>
  <c r="E54" i="11"/>
  <c r="E55" i="11"/>
  <c r="E56" i="11"/>
  <c r="E57" i="11"/>
  <c r="E58" i="11"/>
  <c r="E59" i="11"/>
  <c r="E60" i="11"/>
  <c r="E61" i="11"/>
  <c r="E62" i="11"/>
  <c r="E63" i="11"/>
  <c r="E64" i="11"/>
  <c r="E65" i="11"/>
  <c r="E66" i="11"/>
  <c r="E67" i="11"/>
  <c r="E68" i="11"/>
  <c r="E69" i="11"/>
  <c r="E70" i="11"/>
  <c r="E71" i="11"/>
  <c r="E72" i="11"/>
  <c r="E73" i="11"/>
  <c r="E74" i="11"/>
  <c r="E75" i="11"/>
  <c r="E76" i="11"/>
  <c r="E77" i="11"/>
  <c r="E78" i="11"/>
  <c r="E79" i="11"/>
  <c r="E80" i="11"/>
  <c r="E81" i="11"/>
  <c r="E82" i="11"/>
  <c r="E83" i="11"/>
  <c r="E84" i="11"/>
  <c r="D4" i="11"/>
  <c r="D5" i="11"/>
  <c r="D6" i="11"/>
  <c r="D7" i="11"/>
  <c r="D8" i="11"/>
  <c r="D9" i="11"/>
  <c r="D10" i="11"/>
  <c r="D11" i="11"/>
  <c r="D12" i="11"/>
  <c r="D13" i="11"/>
  <c r="D14" i="11"/>
  <c r="D15" i="11"/>
  <c r="D16" i="11"/>
  <c r="D17" i="11"/>
  <c r="D18" i="11"/>
  <c r="D19" i="11"/>
  <c r="D20" i="11"/>
  <c r="D21" i="11"/>
  <c r="D22" i="11"/>
  <c r="D23" i="11"/>
  <c r="D24" i="11"/>
  <c r="D25" i="11"/>
  <c r="D26" i="11"/>
  <c r="D27" i="11"/>
  <c r="D28" i="11"/>
  <c r="D29" i="11"/>
  <c r="D30" i="11"/>
  <c r="D31" i="11"/>
  <c r="D32" i="11"/>
  <c r="D33" i="11"/>
  <c r="D34" i="11"/>
  <c r="D35" i="11"/>
  <c r="D36" i="11"/>
  <c r="D37" i="11"/>
  <c r="D38" i="11"/>
  <c r="D39" i="11"/>
  <c r="D40" i="11"/>
  <c r="D41" i="11"/>
  <c r="D42" i="11"/>
  <c r="D43" i="11"/>
  <c r="D44" i="11"/>
  <c r="D45" i="11"/>
  <c r="D46" i="11"/>
  <c r="D47" i="11"/>
  <c r="D48" i="11"/>
  <c r="D49" i="11"/>
  <c r="D50" i="11"/>
  <c r="D51" i="11"/>
  <c r="D52" i="11"/>
  <c r="D53" i="11"/>
  <c r="D54" i="11"/>
  <c r="D55" i="11"/>
  <c r="D56" i="11"/>
  <c r="D57" i="11"/>
  <c r="D58" i="11"/>
  <c r="D59" i="11"/>
  <c r="D60" i="11"/>
  <c r="D61" i="11"/>
  <c r="D62" i="11"/>
  <c r="D63" i="11"/>
  <c r="D64" i="11"/>
  <c r="D65" i="11"/>
  <c r="D66" i="11"/>
  <c r="D67" i="11"/>
  <c r="D68" i="11"/>
  <c r="D69" i="11"/>
  <c r="D70" i="11"/>
  <c r="D71" i="11"/>
  <c r="D72" i="11"/>
  <c r="D73" i="11"/>
  <c r="D74" i="11"/>
  <c r="D75" i="11"/>
  <c r="D76" i="11"/>
  <c r="D77" i="11"/>
  <c r="D78" i="11"/>
  <c r="D79" i="11"/>
  <c r="D80" i="11"/>
  <c r="D81" i="11"/>
  <c r="D82" i="11"/>
  <c r="D83" i="11"/>
  <c r="D84" i="11"/>
  <c r="D3" i="11"/>
  <c r="C4" i="11"/>
  <c r="C5" i="11"/>
  <c r="C6" i="11"/>
  <c r="C7" i="11"/>
  <c r="C8" i="11"/>
  <c r="C9" i="11"/>
  <c r="C10" i="11"/>
  <c r="C11" i="11"/>
  <c r="C12" i="11"/>
  <c r="C13" i="11"/>
  <c r="C14" i="11"/>
  <c r="C15" i="11"/>
  <c r="C16" i="11"/>
  <c r="C17" i="11"/>
  <c r="C18" i="11"/>
  <c r="C19" i="11"/>
  <c r="C20" i="11"/>
  <c r="C21" i="11"/>
  <c r="C22" i="11"/>
  <c r="C23" i="11"/>
  <c r="C24" i="11"/>
  <c r="C25" i="11"/>
  <c r="C26" i="11"/>
  <c r="C27" i="11"/>
  <c r="C28" i="11"/>
  <c r="C29" i="11"/>
  <c r="C30" i="11"/>
  <c r="C31" i="11"/>
  <c r="C32" i="11"/>
  <c r="C33" i="11"/>
  <c r="C34" i="11"/>
  <c r="C35" i="11"/>
  <c r="C36" i="11"/>
  <c r="C37" i="11"/>
  <c r="C38" i="11"/>
  <c r="C39" i="11"/>
  <c r="C40" i="11"/>
  <c r="C41" i="11"/>
  <c r="C42" i="11"/>
  <c r="C43" i="11"/>
  <c r="C44" i="11"/>
  <c r="C45" i="11"/>
  <c r="C46" i="11"/>
  <c r="C47" i="11"/>
  <c r="C48" i="11"/>
  <c r="C49" i="11"/>
  <c r="C50" i="11"/>
  <c r="C51" i="11"/>
  <c r="C52" i="11"/>
  <c r="C53" i="11"/>
  <c r="C54" i="11"/>
  <c r="C55" i="11"/>
  <c r="C56" i="11"/>
  <c r="C57" i="11"/>
  <c r="C58" i="11"/>
  <c r="C59" i="11"/>
  <c r="C60" i="11"/>
  <c r="C61" i="11"/>
  <c r="C62" i="11"/>
  <c r="C63" i="11"/>
  <c r="C64" i="11"/>
  <c r="C65" i="11"/>
  <c r="C66" i="11"/>
  <c r="C67" i="11"/>
  <c r="C68" i="11"/>
  <c r="C69" i="11"/>
  <c r="C70" i="11"/>
  <c r="C71" i="11"/>
  <c r="C72" i="11"/>
  <c r="C73" i="11"/>
  <c r="C74" i="11"/>
  <c r="C75" i="11"/>
  <c r="C76" i="11"/>
  <c r="C77" i="11"/>
  <c r="C78" i="11"/>
  <c r="C79" i="11"/>
  <c r="C80" i="11"/>
  <c r="C81" i="11"/>
  <c r="C82" i="11"/>
  <c r="C83" i="11"/>
  <c r="C84" i="11"/>
  <c r="C3" i="11"/>
  <c r="AB5" i="4" l="1"/>
  <c r="AM6" i="4"/>
  <c r="AM7" i="4"/>
  <c r="AM8" i="4"/>
  <c r="AM9" i="4"/>
  <c r="AM10" i="4"/>
  <c r="AM11" i="4"/>
  <c r="AM12" i="4"/>
  <c r="AM13" i="4"/>
  <c r="AM14" i="4"/>
  <c r="AM15" i="4"/>
  <c r="AM16" i="4"/>
  <c r="AM17" i="4"/>
  <c r="AM18" i="4"/>
  <c r="AM19" i="4"/>
  <c r="AM20" i="4"/>
  <c r="AM21" i="4"/>
  <c r="AM22" i="4"/>
  <c r="AM23" i="4"/>
  <c r="AM24" i="4"/>
  <c r="AM25" i="4"/>
  <c r="AM26" i="4"/>
  <c r="AM27" i="4"/>
  <c r="AM28" i="4"/>
  <c r="AM29" i="4"/>
  <c r="AM30" i="4"/>
  <c r="AM31" i="4"/>
  <c r="AM32" i="4"/>
  <c r="AM33" i="4"/>
  <c r="AM34" i="4"/>
  <c r="AM35" i="4"/>
  <c r="AM36" i="4"/>
  <c r="AM37" i="4"/>
  <c r="AM38" i="4"/>
  <c r="AM39" i="4"/>
  <c r="AM40" i="4"/>
  <c r="AM41" i="4"/>
  <c r="AM42" i="4"/>
  <c r="AM43" i="4"/>
  <c r="AM44" i="4"/>
  <c r="AM45" i="4"/>
  <c r="AM46" i="4"/>
  <c r="AM47" i="4"/>
  <c r="AM48" i="4"/>
  <c r="AM49" i="4"/>
  <c r="AM50" i="4"/>
  <c r="AM51" i="4"/>
  <c r="AM52" i="4"/>
  <c r="AM53" i="4"/>
  <c r="AM54" i="4"/>
  <c r="AM55" i="4"/>
  <c r="AM56" i="4"/>
  <c r="AM57" i="4"/>
  <c r="AM58" i="4"/>
  <c r="AM59" i="4"/>
  <c r="AM60" i="4"/>
  <c r="AM61" i="4"/>
  <c r="AM62" i="4"/>
  <c r="AM63" i="4"/>
  <c r="AM64" i="4"/>
  <c r="AM65" i="4"/>
  <c r="AM66" i="4"/>
  <c r="AM67" i="4"/>
  <c r="AM68" i="4"/>
  <c r="AM69" i="4"/>
  <c r="AM70" i="4"/>
  <c r="AM71" i="4"/>
  <c r="AM72" i="4"/>
  <c r="AM73" i="4"/>
  <c r="AM74" i="4"/>
  <c r="AM75" i="4"/>
  <c r="AM76" i="4"/>
  <c r="AM77" i="4"/>
  <c r="AM78" i="4"/>
  <c r="AM79" i="4"/>
  <c r="AM80" i="4"/>
  <c r="AM81" i="4"/>
  <c r="AM82" i="4"/>
  <c r="AM83" i="4"/>
  <c r="AM84" i="4"/>
  <c r="AM85" i="4"/>
  <c r="AM86" i="4"/>
  <c r="AM87" i="4"/>
  <c r="AM88" i="4"/>
  <c r="AM5" i="4"/>
  <c r="AM4" i="4"/>
  <c r="G3" i="11"/>
  <c r="F3" i="11"/>
  <c r="H3" i="11"/>
  <c r="D65" i="3" l="1"/>
  <c r="AS4" i="4"/>
  <c r="AV4" i="4" s="1"/>
  <c r="AB4" i="4"/>
  <c r="E3" i="11"/>
  <c r="F288" i="6" l="1"/>
  <c r="F50" i="6"/>
  <c r="F29" i="6"/>
  <c r="D302" i="10"/>
  <c r="E302" i="10"/>
  <c r="F302" i="10"/>
  <c r="G302" i="10"/>
  <c r="C302" i="10"/>
  <c r="H300" i="10"/>
  <c r="N5" i="9"/>
  <c r="N6" i="9"/>
  <c r="N7" i="9"/>
  <c r="N8" i="9"/>
  <c r="N9" i="9"/>
  <c r="N10" i="9"/>
  <c r="N11" i="9"/>
  <c r="N12" i="9"/>
  <c r="N13" i="9"/>
  <c r="N14" i="9"/>
  <c r="N15" i="9"/>
  <c r="N16" i="9"/>
  <c r="N17" i="9"/>
  <c r="N18" i="9"/>
  <c r="N19" i="9"/>
  <c r="N20" i="9"/>
  <c r="N21" i="9"/>
  <c r="N22" i="9"/>
  <c r="N23" i="9"/>
  <c r="N24" i="9"/>
  <c r="N25" i="9"/>
  <c r="N26" i="9"/>
  <c r="N27" i="9"/>
  <c r="N28" i="9"/>
  <c r="N29" i="9"/>
  <c r="N30" i="9"/>
  <c r="N31" i="9"/>
  <c r="N32" i="9"/>
  <c r="N33" i="9"/>
  <c r="N34" i="9"/>
  <c r="N35" i="9"/>
  <c r="N36" i="9"/>
  <c r="N37" i="9"/>
  <c r="N38" i="9"/>
  <c r="N39" i="9"/>
  <c r="N40" i="9"/>
  <c r="N41" i="9"/>
  <c r="N42" i="9"/>
  <c r="N43" i="9"/>
  <c r="N44" i="9"/>
  <c r="N45" i="9"/>
  <c r="N46" i="9"/>
  <c r="N47" i="9"/>
  <c r="N48" i="9"/>
  <c r="N49" i="9"/>
  <c r="N50" i="9"/>
  <c r="N51" i="9"/>
  <c r="N52" i="9"/>
  <c r="N53" i="9"/>
  <c r="N54" i="9"/>
  <c r="N55" i="9"/>
  <c r="N56" i="9"/>
  <c r="N57" i="9"/>
  <c r="N58" i="9"/>
  <c r="N59" i="9"/>
  <c r="N60" i="9"/>
  <c r="N61" i="9"/>
  <c r="N62" i="9"/>
  <c r="N63" i="9"/>
  <c r="N64" i="9"/>
  <c r="N65" i="9"/>
  <c r="N66" i="9"/>
  <c r="N67" i="9"/>
  <c r="N68" i="9"/>
  <c r="N69" i="9"/>
  <c r="N70" i="9"/>
  <c r="N71" i="9"/>
  <c r="N72" i="9"/>
  <c r="N73" i="9"/>
  <c r="N74" i="9"/>
  <c r="N75" i="9"/>
  <c r="N76" i="9"/>
  <c r="N77" i="9"/>
  <c r="N78" i="9"/>
  <c r="N79" i="9"/>
  <c r="N80" i="9"/>
  <c r="N81" i="9"/>
  <c r="N82" i="9"/>
  <c r="N83" i="9"/>
  <c r="N84" i="9"/>
  <c r="N85" i="9"/>
  <c r="N86" i="9"/>
  <c r="N87" i="9"/>
  <c r="N88" i="9"/>
  <c r="N89" i="9"/>
  <c r="N90" i="9"/>
  <c r="N91" i="9"/>
  <c r="N92" i="9"/>
  <c r="N93" i="9"/>
  <c r="N94" i="9"/>
  <c r="N95" i="9"/>
  <c r="N96" i="9"/>
  <c r="N97" i="9"/>
  <c r="N98" i="9"/>
  <c r="N99" i="9"/>
  <c r="N100" i="9"/>
  <c r="N101" i="9"/>
  <c r="N102" i="9"/>
  <c r="N103" i="9"/>
  <c r="N104" i="9"/>
  <c r="N105" i="9"/>
  <c r="N106" i="9"/>
  <c r="N107" i="9"/>
  <c r="N108" i="9"/>
  <c r="N109" i="9"/>
  <c r="N110" i="9"/>
  <c r="N111" i="9"/>
  <c r="N112" i="9"/>
  <c r="N113" i="9"/>
  <c r="N114" i="9"/>
  <c r="N115" i="9"/>
  <c r="N116" i="9"/>
  <c r="N117" i="9"/>
  <c r="N118" i="9"/>
  <c r="N119" i="9"/>
  <c r="N120" i="9"/>
  <c r="N121" i="9"/>
  <c r="N122" i="9"/>
  <c r="N123" i="9"/>
  <c r="N124" i="9"/>
  <c r="N125" i="9"/>
  <c r="N126" i="9"/>
  <c r="N127" i="9"/>
  <c r="N128" i="9"/>
  <c r="N129" i="9"/>
  <c r="N130" i="9"/>
  <c r="N131" i="9"/>
  <c r="N132" i="9"/>
  <c r="N133" i="9"/>
  <c r="N134" i="9"/>
  <c r="N135" i="9"/>
  <c r="N136" i="9"/>
  <c r="N137" i="9"/>
  <c r="N138" i="9"/>
  <c r="N139" i="9"/>
  <c r="N140" i="9"/>
  <c r="N141" i="9"/>
  <c r="N142" i="9"/>
  <c r="N143" i="9"/>
  <c r="N144" i="9"/>
  <c r="N145" i="9"/>
  <c r="N146" i="9"/>
  <c r="N147" i="9"/>
  <c r="N148" i="9"/>
  <c r="N149" i="9"/>
  <c r="N150" i="9"/>
  <c r="N151" i="9"/>
  <c r="N152" i="9"/>
  <c r="N153" i="9"/>
  <c r="N154" i="9"/>
  <c r="N155" i="9"/>
  <c r="N156" i="9"/>
  <c r="N157" i="9"/>
  <c r="N158" i="9"/>
  <c r="N159" i="9"/>
  <c r="N160" i="9"/>
  <c r="N161" i="9"/>
  <c r="N162" i="9"/>
  <c r="N163" i="9"/>
  <c r="N164" i="9"/>
  <c r="N165" i="9"/>
  <c r="N166" i="9"/>
  <c r="N167" i="9"/>
  <c r="N168" i="9"/>
  <c r="N169" i="9"/>
  <c r="N170" i="9"/>
  <c r="N171" i="9"/>
  <c r="N172" i="9"/>
  <c r="N173" i="9"/>
  <c r="N174" i="9"/>
  <c r="N175" i="9"/>
  <c r="N176" i="9"/>
  <c r="N177" i="9"/>
  <c r="N178" i="9"/>
  <c r="N179" i="9"/>
  <c r="N180" i="9"/>
  <c r="N181" i="9"/>
  <c r="N182" i="9"/>
  <c r="N183" i="9"/>
  <c r="N184" i="9"/>
  <c r="N185" i="9"/>
  <c r="N186" i="9"/>
  <c r="N187" i="9"/>
  <c r="N188" i="9"/>
  <c r="N189" i="9"/>
  <c r="N190" i="9"/>
  <c r="N191" i="9"/>
  <c r="N192" i="9"/>
  <c r="N193" i="9"/>
  <c r="N194" i="9"/>
  <c r="N195" i="9"/>
  <c r="N196" i="9"/>
  <c r="N197" i="9"/>
  <c r="N198" i="9"/>
  <c r="N199" i="9"/>
  <c r="N200" i="9"/>
  <c r="N201" i="9"/>
  <c r="N202" i="9"/>
  <c r="N203" i="9"/>
  <c r="N204" i="9"/>
  <c r="N205" i="9"/>
  <c r="N206" i="9"/>
  <c r="N207" i="9"/>
  <c r="N208" i="9"/>
  <c r="N209" i="9"/>
  <c r="N210" i="9"/>
  <c r="N211" i="9"/>
  <c r="N212" i="9"/>
  <c r="N213" i="9"/>
  <c r="N214" i="9"/>
  <c r="N215" i="9"/>
  <c r="N216" i="9"/>
  <c r="N217" i="9"/>
  <c r="N218" i="9"/>
  <c r="N219" i="9"/>
  <c r="N220" i="9"/>
  <c r="N221" i="9"/>
  <c r="N222" i="9"/>
  <c r="N223" i="9"/>
  <c r="N224" i="9"/>
  <c r="N225" i="9"/>
  <c r="N226" i="9"/>
  <c r="N227" i="9"/>
  <c r="N228" i="9"/>
  <c r="N229" i="9"/>
  <c r="N230" i="9"/>
  <c r="N231" i="9"/>
  <c r="N232" i="9"/>
  <c r="N233" i="9"/>
  <c r="N234" i="9"/>
  <c r="N235" i="9"/>
  <c r="N236" i="9"/>
  <c r="N237" i="9"/>
  <c r="N238" i="9"/>
  <c r="N239" i="9"/>
  <c r="N240" i="9"/>
  <c r="N241" i="9"/>
  <c r="N242" i="9"/>
  <c r="N243" i="9"/>
  <c r="N244" i="9"/>
  <c r="N245" i="9"/>
  <c r="N246" i="9"/>
  <c r="N247" i="9"/>
  <c r="N248" i="9"/>
  <c r="N249" i="9"/>
  <c r="N250" i="9"/>
  <c r="N251" i="9"/>
  <c r="N252" i="9"/>
  <c r="N253" i="9"/>
  <c r="N254" i="9"/>
  <c r="N255" i="9"/>
  <c r="N256" i="9"/>
  <c r="N257" i="9"/>
  <c r="N258" i="9"/>
  <c r="N259" i="9"/>
  <c r="N260" i="9"/>
  <c r="N261" i="9"/>
  <c r="N262" i="9"/>
  <c r="N263" i="9"/>
  <c r="N264" i="9"/>
  <c r="N265" i="9"/>
  <c r="N266" i="9"/>
  <c r="N267" i="9"/>
  <c r="N268" i="9"/>
  <c r="N269" i="9"/>
  <c r="N270" i="9"/>
  <c r="N271" i="9"/>
  <c r="N272" i="9"/>
  <c r="N273" i="9"/>
  <c r="N274" i="9"/>
  <c r="N275" i="9"/>
  <c r="N276" i="9"/>
  <c r="N277" i="9"/>
  <c r="N278" i="9"/>
  <c r="N279" i="9"/>
  <c r="N280" i="9"/>
  <c r="N281" i="9"/>
  <c r="N282" i="9"/>
  <c r="N283" i="9"/>
  <c r="N284" i="9"/>
  <c r="N285" i="9"/>
  <c r="N286" i="9"/>
  <c r="N287" i="9"/>
  <c r="N288" i="9"/>
  <c r="N289" i="9"/>
  <c r="N290" i="9"/>
  <c r="N291" i="9"/>
  <c r="N292" i="9"/>
  <c r="N293" i="9"/>
  <c r="N294" i="9"/>
  <c r="N295" i="9"/>
  <c r="N296" i="9"/>
  <c r="N297" i="9"/>
  <c r="N298" i="9"/>
  <c r="N299" i="9"/>
  <c r="N300" i="9"/>
  <c r="N4" i="9"/>
  <c r="K302" i="9"/>
  <c r="L302" i="9"/>
  <c r="M302" i="9"/>
  <c r="J302" i="9"/>
  <c r="D302" i="9"/>
  <c r="E302" i="9"/>
  <c r="F302" i="9"/>
  <c r="G302" i="9"/>
  <c r="H302" i="9"/>
  <c r="C302" i="9"/>
  <c r="C81" i="4"/>
  <c r="N302" i="9" l="1"/>
  <c r="D298" i="6"/>
  <c r="D300" i="6" s="1"/>
  <c r="C298" i="6"/>
  <c r="F28" i="1" l="1"/>
  <c r="E27" i="1" s="1"/>
  <c r="E26" i="1"/>
  <c r="F29" i="1" s="1"/>
  <c r="E30" i="1" l="1"/>
  <c r="F30" i="1"/>
  <c r="V5" i="4" l="1"/>
  <c r="V6" i="4"/>
  <c r="V7" i="4"/>
  <c r="V8" i="4"/>
  <c r="V9" i="4"/>
  <c r="V10" i="4"/>
  <c r="V11" i="4"/>
  <c r="V12" i="4"/>
  <c r="V13" i="4"/>
  <c r="V14" i="4"/>
  <c r="V15" i="4"/>
  <c r="V16" i="4"/>
  <c r="V17" i="4"/>
  <c r="V18" i="4"/>
  <c r="V19" i="4"/>
  <c r="V20" i="4"/>
  <c r="V21" i="4"/>
  <c r="V22" i="4"/>
  <c r="V23" i="4"/>
  <c r="V24" i="4"/>
  <c r="V25" i="4"/>
  <c r="V26" i="4"/>
  <c r="V27" i="4"/>
  <c r="V28" i="4"/>
  <c r="V29" i="4"/>
  <c r="V30" i="4"/>
  <c r="V31" i="4"/>
  <c r="V32" i="4"/>
  <c r="V33" i="4"/>
  <c r="V34" i="4"/>
  <c r="V35" i="4"/>
  <c r="V36" i="4"/>
  <c r="V37" i="4"/>
  <c r="V38" i="4"/>
  <c r="V39" i="4"/>
  <c r="V40" i="4"/>
  <c r="V41" i="4"/>
  <c r="V42" i="4"/>
  <c r="V43" i="4"/>
  <c r="V44" i="4"/>
  <c r="V45" i="4"/>
  <c r="V46" i="4"/>
  <c r="V47" i="4"/>
  <c r="V48" i="4"/>
  <c r="V49" i="4"/>
  <c r="V50" i="4"/>
  <c r="V51" i="4"/>
  <c r="V52" i="4"/>
  <c r="V53" i="4"/>
  <c r="V54" i="4"/>
  <c r="V55" i="4"/>
  <c r="V56" i="4"/>
  <c r="V57" i="4"/>
  <c r="V58" i="4"/>
  <c r="V59" i="4"/>
  <c r="V60" i="4"/>
  <c r="V61" i="4"/>
  <c r="V62" i="4"/>
  <c r="V63" i="4"/>
  <c r="V64" i="4"/>
  <c r="V65" i="4"/>
  <c r="V66" i="4"/>
  <c r="V67" i="4"/>
  <c r="V68" i="4"/>
  <c r="V69" i="4"/>
  <c r="V70" i="4"/>
  <c r="V71" i="4"/>
  <c r="V72" i="4"/>
  <c r="V73" i="4"/>
  <c r="V74" i="4"/>
  <c r="V75" i="4"/>
  <c r="V76" i="4"/>
  <c r="V77" i="4"/>
  <c r="V78" i="4"/>
  <c r="V79" i="4"/>
  <c r="V80" i="4"/>
  <c r="V81" i="4"/>
  <c r="V82" i="4"/>
  <c r="V83" i="4"/>
  <c r="V84" i="4"/>
  <c r="V85" i="4"/>
  <c r="V4" i="4"/>
  <c r="U5" i="4"/>
  <c r="U6" i="4"/>
  <c r="U7" i="4"/>
  <c r="U8" i="4"/>
  <c r="U9" i="4"/>
  <c r="U10" i="4"/>
  <c r="U11" i="4"/>
  <c r="U12" i="4"/>
  <c r="U13" i="4"/>
  <c r="U14" i="4"/>
  <c r="U15" i="4"/>
  <c r="U16" i="4"/>
  <c r="U17" i="4"/>
  <c r="U18" i="4"/>
  <c r="U19" i="4"/>
  <c r="U20" i="4"/>
  <c r="U21" i="4"/>
  <c r="U22" i="4"/>
  <c r="U23" i="4"/>
  <c r="U24" i="4"/>
  <c r="U25" i="4"/>
  <c r="U26" i="4"/>
  <c r="U27" i="4"/>
  <c r="U28" i="4"/>
  <c r="U29" i="4"/>
  <c r="U30" i="4"/>
  <c r="U31" i="4"/>
  <c r="U32" i="4"/>
  <c r="U33" i="4"/>
  <c r="U34" i="4"/>
  <c r="U35" i="4"/>
  <c r="U36" i="4"/>
  <c r="U37" i="4"/>
  <c r="U38" i="4"/>
  <c r="U39" i="4"/>
  <c r="U40" i="4"/>
  <c r="U41" i="4"/>
  <c r="U42" i="4"/>
  <c r="U43" i="4"/>
  <c r="U44" i="4"/>
  <c r="U45" i="4"/>
  <c r="U46" i="4"/>
  <c r="U47" i="4"/>
  <c r="U48" i="4"/>
  <c r="U49" i="4"/>
  <c r="U50" i="4"/>
  <c r="U51" i="4"/>
  <c r="U52" i="4"/>
  <c r="U53" i="4"/>
  <c r="U54" i="4"/>
  <c r="U55" i="4"/>
  <c r="U56" i="4"/>
  <c r="U57" i="4"/>
  <c r="U58" i="4"/>
  <c r="U59" i="4"/>
  <c r="U60" i="4"/>
  <c r="U61" i="4"/>
  <c r="U62" i="4"/>
  <c r="U63" i="4"/>
  <c r="U64" i="4"/>
  <c r="U65" i="4"/>
  <c r="U66" i="4"/>
  <c r="U67" i="4"/>
  <c r="U68" i="4"/>
  <c r="U69" i="4"/>
  <c r="U70" i="4"/>
  <c r="U71" i="4"/>
  <c r="U72" i="4"/>
  <c r="U73" i="4"/>
  <c r="U74" i="4"/>
  <c r="U75" i="4"/>
  <c r="U76" i="4"/>
  <c r="U77" i="4"/>
  <c r="U78" i="4"/>
  <c r="U79" i="4"/>
  <c r="U80" i="4"/>
  <c r="U81" i="4"/>
  <c r="U82" i="4"/>
  <c r="U83" i="4"/>
  <c r="U84" i="4"/>
  <c r="U85" i="4"/>
  <c r="U4" i="4"/>
  <c r="T5" i="4"/>
  <c r="T6" i="4"/>
  <c r="T7" i="4"/>
  <c r="T8" i="4"/>
  <c r="T9" i="4"/>
  <c r="T10" i="4"/>
  <c r="T11" i="4"/>
  <c r="T12" i="4"/>
  <c r="T13" i="4"/>
  <c r="T14" i="4"/>
  <c r="T15" i="4"/>
  <c r="T16" i="4"/>
  <c r="T17" i="4"/>
  <c r="T18" i="4"/>
  <c r="T19" i="4"/>
  <c r="T20" i="4"/>
  <c r="T21" i="4"/>
  <c r="T22" i="4"/>
  <c r="T23" i="4"/>
  <c r="T24" i="4"/>
  <c r="T25" i="4"/>
  <c r="T26" i="4"/>
  <c r="T27" i="4"/>
  <c r="T28" i="4"/>
  <c r="T29" i="4"/>
  <c r="T30" i="4"/>
  <c r="T31" i="4"/>
  <c r="T32" i="4"/>
  <c r="T33" i="4"/>
  <c r="T34" i="4"/>
  <c r="T35" i="4"/>
  <c r="T36" i="4"/>
  <c r="T37" i="4"/>
  <c r="T38" i="4"/>
  <c r="T39" i="4"/>
  <c r="T40" i="4"/>
  <c r="T41" i="4"/>
  <c r="T42" i="4"/>
  <c r="T43" i="4"/>
  <c r="T44" i="4"/>
  <c r="T45" i="4"/>
  <c r="T46" i="4"/>
  <c r="T47" i="4"/>
  <c r="T48" i="4"/>
  <c r="T49" i="4"/>
  <c r="T50" i="4"/>
  <c r="T51" i="4"/>
  <c r="T52" i="4"/>
  <c r="T53" i="4"/>
  <c r="T54" i="4"/>
  <c r="T55" i="4"/>
  <c r="T56" i="4"/>
  <c r="T57" i="4"/>
  <c r="T58" i="4"/>
  <c r="T59" i="4"/>
  <c r="T60" i="4"/>
  <c r="T61" i="4"/>
  <c r="T62" i="4"/>
  <c r="T63" i="4"/>
  <c r="T64" i="4"/>
  <c r="T65" i="4"/>
  <c r="T66" i="4"/>
  <c r="T67" i="4"/>
  <c r="T68" i="4"/>
  <c r="T69" i="4"/>
  <c r="T70" i="4"/>
  <c r="T71" i="4"/>
  <c r="T72" i="4"/>
  <c r="T73" i="4"/>
  <c r="T74" i="4"/>
  <c r="T75" i="4"/>
  <c r="T76" i="4"/>
  <c r="T77" i="4"/>
  <c r="T78" i="4"/>
  <c r="T79" i="4"/>
  <c r="T80" i="4"/>
  <c r="T81" i="4"/>
  <c r="T82" i="4"/>
  <c r="T83" i="4"/>
  <c r="T84" i="4"/>
  <c r="T85" i="4"/>
  <c r="T4" i="4"/>
  <c r="S5" i="4"/>
  <c r="S6" i="4"/>
  <c r="S7" i="4"/>
  <c r="S8" i="4"/>
  <c r="S9" i="4"/>
  <c r="S10" i="4"/>
  <c r="S11" i="4"/>
  <c r="S12" i="4"/>
  <c r="S13" i="4"/>
  <c r="S14" i="4"/>
  <c r="S15" i="4"/>
  <c r="S16" i="4"/>
  <c r="S17" i="4"/>
  <c r="S18" i="4"/>
  <c r="S19" i="4"/>
  <c r="S20" i="4"/>
  <c r="S21" i="4"/>
  <c r="S22" i="4"/>
  <c r="S23" i="4"/>
  <c r="S24" i="4"/>
  <c r="S25" i="4"/>
  <c r="S26" i="4"/>
  <c r="S27" i="4"/>
  <c r="S28" i="4"/>
  <c r="S29" i="4"/>
  <c r="S30" i="4"/>
  <c r="S31" i="4"/>
  <c r="S32" i="4"/>
  <c r="S33" i="4"/>
  <c r="S34" i="4"/>
  <c r="S35" i="4"/>
  <c r="S36" i="4"/>
  <c r="S37" i="4"/>
  <c r="S38" i="4"/>
  <c r="S39" i="4"/>
  <c r="S40" i="4"/>
  <c r="S41" i="4"/>
  <c r="S42" i="4"/>
  <c r="S43" i="4"/>
  <c r="S44" i="4"/>
  <c r="S45" i="4"/>
  <c r="S46" i="4"/>
  <c r="S47" i="4"/>
  <c r="S48" i="4"/>
  <c r="S49" i="4"/>
  <c r="S50" i="4"/>
  <c r="S51" i="4"/>
  <c r="S52" i="4"/>
  <c r="S53" i="4"/>
  <c r="S54" i="4"/>
  <c r="S55" i="4"/>
  <c r="S56" i="4"/>
  <c r="S57" i="4"/>
  <c r="S58" i="4"/>
  <c r="S59" i="4"/>
  <c r="S60" i="4"/>
  <c r="S61" i="4"/>
  <c r="S62" i="4"/>
  <c r="S63" i="4"/>
  <c r="S64" i="4"/>
  <c r="S65" i="4"/>
  <c r="S66" i="4"/>
  <c r="S67" i="4"/>
  <c r="S68" i="4"/>
  <c r="S69" i="4"/>
  <c r="S70" i="4"/>
  <c r="S71" i="4"/>
  <c r="S72" i="4"/>
  <c r="S73" i="4"/>
  <c r="S74" i="4"/>
  <c r="S75" i="4"/>
  <c r="S76" i="4"/>
  <c r="S77" i="4"/>
  <c r="S78" i="4"/>
  <c r="S79" i="4"/>
  <c r="S80" i="4"/>
  <c r="S81" i="4"/>
  <c r="S82" i="4"/>
  <c r="S83" i="4"/>
  <c r="S84" i="4"/>
  <c r="S85" i="4"/>
  <c r="S4" i="4"/>
  <c r="R5" i="4"/>
  <c r="R6" i="4"/>
  <c r="R7" i="4"/>
  <c r="R8" i="4"/>
  <c r="R9" i="4"/>
  <c r="R10" i="4"/>
  <c r="R11" i="4"/>
  <c r="R12" i="4"/>
  <c r="R13" i="4"/>
  <c r="R14" i="4"/>
  <c r="R15" i="4"/>
  <c r="R16" i="4"/>
  <c r="R17" i="4"/>
  <c r="R18" i="4"/>
  <c r="R19" i="4"/>
  <c r="R20" i="4"/>
  <c r="R21" i="4"/>
  <c r="R22" i="4"/>
  <c r="R23" i="4"/>
  <c r="R24" i="4"/>
  <c r="R25" i="4"/>
  <c r="R26" i="4"/>
  <c r="R27" i="4"/>
  <c r="R28" i="4"/>
  <c r="R29" i="4"/>
  <c r="R30" i="4"/>
  <c r="R31" i="4"/>
  <c r="R32" i="4"/>
  <c r="R33" i="4"/>
  <c r="R34" i="4"/>
  <c r="R35" i="4"/>
  <c r="R36" i="4"/>
  <c r="R37" i="4"/>
  <c r="R38" i="4"/>
  <c r="R39" i="4"/>
  <c r="R40" i="4"/>
  <c r="R41" i="4"/>
  <c r="R42" i="4"/>
  <c r="R43" i="4"/>
  <c r="R44" i="4"/>
  <c r="R45" i="4"/>
  <c r="R46" i="4"/>
  <c r="R47" i="4"/>
  <c r="R48" i="4"/>
  <c r="R49" i="4"/>
  <c r="R50" i="4"/>
  <c r="R51" i="4"/>
  <c r="R52" i="4"/>
  <c r="R53" i="4"/>
  <c r="R54" i="4"/>
  <c r="R55" i="4"/>
  <c r="R56" i="4"/>
  <c r="R57" i="4"/>
  <c r="R58" i="4"/>
  <c r="R59" i="4"/>
  <c r="R60" i="4"/>
  <c r="R61" i="4"/>
  <c r="R62" i="4"/>
  <c r="R63" i="4"/>
  <c r="R64" i="4"/>
  <c r="R65" i="4"/>
  <c r="R66" i="4"/>
  <c r="R67" i="4"/>
  <c r="R68" i="4"/>
  <c r="R69" i="4"/>
  <c r="R70" i="4"/>
  <c r="R71" i="4"/>
  <c r="R72" i="4"/>
  <c r="R73" i="4"/>
  <c r="R74" i="4"/>
  <c r="R75" i="4"/>
  <c r="R76" i="4"/>
  <c r="R77" i="4"/>
  <c r="R78" i="4"/>
  <c r="R79" i="4"/>
  <c r="R80" i="4"/>
  <c r="R81" i="4"/>
  <c r="R82" i="4"/>
  <c r="R83" i="4"/>
  <c r="R84" i="4"/>
  <c r="R85" i="4"/>
  <c r="Q81" i="4"/>
  <c r="Q82" i="4"/>
  <c r="Q83" i="4"/>
  <c r="Q84" i="4"/>
  <c r="Q85" i="4"/>
  <c r="Q6" i="4"/>
  <c r="Q7" i="4"/>
  <c r="Q8" i="4"/>
  <c r="Q9" i="4"/>
  <c r="Q10" i="4"/>
  <c r="Q11" i="4"/>
  <c r="Q12" i="4"/>
  <c r="Q13" i="4"/>
  <c r="Q14" i="4"/>
  <c r="Q15" i="4"/>
  <c r="Q16" i="4"/>
  <c r="Q17" i="4"/>
  <c r="Q18" i="4"/>
  <c r="Q19" i="4"/>
  <c r="Q20" i="4"/>
  <c r="Q21" i="4"/>
  <c r="Q22" i="4"/>
  <c r="Q23" i="4"/>
  <c r="Q24" i="4"/>
  <c r="Q25" i="4"/>
  <c r="Q26" i="4"/>
  <c r="Q27" i="4"/>
  <c r="Q28" i="4"/>
  <c r="Q29" i="4"/>
  <c r="Q30" i="4"/>
  <c r="Q31" i="4"/>
  <c r="Q32" i="4"/>
  <c r="Q33" i="4"/>
  <c r="Q34" i="4"/>
  <c r="Q35" i="4"/>
  <c r="Q36" i="4"/>
  <c r="Q37" i="4"/>
  <c r="Q38" i="4"/>
  <c r="Q39" i="4"/>
  <c r="Q40" i="4"/>
  <c r="Q41" i="4"/>
  <c r="Q42" i="4"/>
  <c r="Q43" i="4"/>
  <c r="Q44" i="4"/>
  <c r="Q45" i="4"/>
  <c r="Q46" i="4"/>
  <c r="Q47" i="4"/>
  <c r="Q48" i="4"/>
  <c r="Q49" i="4"/>
  <c r="Q50" i="4"/>
  <c r="Q51" i="4"/>
  <c r="Q52" i="4"/>
  <c r="Q53" i="4"/>
  <c r="Q54" i="4"/>
  <c r="Q55" i="4"/>
  <c r="Q56" i="4"/>
  <c r="Q57" i="4"/>
  <c r="Q58" i="4"/>
  <c r="Q59" i="4"/>
  <c r="Q60" i="4"/>
  <c r="Q61" i="4"/>
  <c r="Q62" i="4"/>
  <c r="Q63" i="4"/>
  <c r="Q64" i="4"/>
  <c r="Q65" i="4"/>
  <c r="Q66" i="4"/>
  <c r="Q67" i="4"/>
  <c r="Q68" i="4"/>
  <c r="Q69" i="4"/>
  <c r="Q70" i="4"/>
  <c r="Q71" i="4"/>
  <c r="Q72" i="4"/>
  <c r="Q73" i="4"/>
  <c r="Q74" i="4"/>
  <c r="Q75" i="4"/>
  <c r="Q76" i="4"/>
  <c r="Q77" i="4"/>
  <c r="Q78" i="4"/>
  <c r="Q79" i="4"/>
  <c r="Q80" i="4"/>
  <c r="Q5" i="4"/>
  <c r="R4" i="4"/>
  <c r="Q4" i="4"/>
  <c r="V88" i="4" l="1"/>
  <c r="V87" i="4"/>
  <c r="V86" i="4"/>
  <c r="E4" i="4" l="1"/>
  <c r="E5" i="4"/>
  <c r="E6" i="4"/>
  <c r="E7" i="4"/>
  <c r="E8" i="4"/>
  <c r="E9" i="4"/>
  <c r="E10" i="4"/>
  <c r="E11" i="4"/>
  <c r="E12" i="4"/>
  <c r="E13" i="4"/>
  <c r="E14" i="4"/>
  <c r="E15" i="4"/>
  <c r="E16" i="4"/>
  <c r="E17" i="4"/>
  <c r="E18" i="4"/>
  <c r="E19" i="4"/>
  <c r="E20" i="4"/>
  <c r="E21" i="4"/>
  <c r="E22" i="4"/>
  <c r="E23" i="4"/>
  <c r="E24" i="4"/>
  <c r="E25" i="4"/>
  <c r="E26" i="4"/>
  <c r="E27" i="4"/>
  <c r="E28" i="4"/>
  <c r="E29" i="4"/>
  <c r="E30" i="4"/>
  <c r="E31" i="4"/>
  <c r="E32" i="4"/>
  <c r="E33" i="4"/>
  <c r="E34" i="4"/>
  <c r="E35" i="4"/>
  <c r="E36" i="4"/>
  <c r="E37" i="4"/>
  <c r="E38" i="4"/>
  <c r="E39" i="4"/>
  <c r="E40" i="4"/>
  <c r="E41" i="4"/>
  <c r="E42" i="4"/>
  <c r="E43" i="4"/>
  <c r="E44" i="4"/>
  <c r="E45" i="4"/>
  <c r="E46" i="4"/>
  <c r="E47" i="4"/>
  <c r="E48" i="4"/>
  <c r="E49" i="4"/>
  <c r="E50" i="4"/>
  <c r="E51" i="4"/>
  <c r="E52" i="4"/>
  <c r="E53" i="4"/>
  <c r="E54" i="4"/>
  <c r="E55" i="4"/>
  <c r="E56" i="4"/>
  <c r="E57" i="4"/>
  <c r="E58" i="4"/>
  <c r="E59" i="4"/>
  <c r="E60" i="4"/>
  <c r="E61" i="4"/>
  <c r="E62" i="4"/>
  <c r="E63" i="4"/>
  <c r="E64" i="4"/>
  <c r="E65" i="4"/>
  <c r="E66" i="4"/>
  <c r="E67" i="4"/>
  <c r="E68" i="4"/>
  <c r="E69" i="4"/>
  <c r="E70" i="4"/>
  <c r="E71" i="4"/>
  <c r="E72" i="4"/>
  <c r="E73" i="4"/>
  <c r="E74" i="4"/>
  <c r="E75" i="4"/>
  <c r="E76" i="4"/>
  <c r="E77" i="4"/>
  <c r="E78" i="4"/>
  <c r="E79" i="4"/>
  <c r="E80" i="4"/>
  <c r="E81" i="4"/>
  <c r="E82" i="4"/>
  <c r="E83" i="4"/>
  <c r="E84" i="4"/>
  <c r="E85" i="4"/>
  <c r="AS10" i="4" l="1"/>
  <c r="AV10" i="4" s="1"/>
  <c r="AS9" i="4"/>
  <c r="AV9" i="4" s="1"/>
  <c r="AS8" i="4"/>
  <c r="AV8" i="4" s="1"/>
  <c r="AS7" i="4"/>
  <c r="AV7" i="4" s="1"/>
  <c r="AS6" i="4"/>
  <c r="AV6" i="4" s="1"/>
  <c r="AS5" i="4"/>
  <c r="AV5" i="4" s="1"/>
  <c r="AS12" i="4"/>
  <c r="AV12" i="4" s="1"/>
  <c r="AS11" i="4"/>
  <c r="AV11" i="4" s="1"/>
  <c r="E87" i="4"/>
  <c r="AS79" i="4"/>
  <c r="AV79" i="4" s="1"/>
  <c r="AS71" i="4"/>
  <c r="AV71" i="4" s="1"/>
  <c r="AS63" i="4"/>
  <c r="AV63" i="4" s="1"/>
  <c r="AS55" i="4"/>
  <c r="AV55" i="4" s="1"/>
  <c r="AS47" i="4"/>
  <c r="AV47" i="4" s="1"/>
  <c r="AS35" i="4"/>
  <c r="AV35" i="4" s="1"/>
  <c r="AS27" i="4"/>
  <c r="AV27" i="4" s="1"/>
  <c r="AS19" i="4"/>
  <c r="AV19" i="4" s="1"/>
  <c r="AS82" i="4"/>
  <c r="AV82" i="4" s="1"/>
  <c r="AS78" i="4"/>
  <c r="AV78" i="4" s="1"/>
  <c r="AS74" i="4"/>
  <c r="AV74" i="4" s="1"/>
  <c r="AS70" i="4"/>
  <c r="AV70" i="4" s="1"/>
  <c r="AS66" i="4"/>
  <c r="AV66" i="4" s="1"/>
  <c r="AS62" i="4"/>
  <c r="AV62" i="4" s="1"/>
  <c r="AS58" i="4"/>
  <c r="AV58" i="4" s="1"/>
  <c r="AS54" i="4"/>
  <c r="AV54" i="4" s="1"/>
  <c r="AS50" i="4"/>
  <c r="AV50" i="4" s="1"/>
  <c r="AS46" i="4"/>
  <c r="AV46" i="4" s="1"/>
  <c r="AS42" i="4"/>
  <c r="AV42" i="4" s="1"/>
  <c r="AS38" i="4"/>
  <c r="AV38" i="4" s="1"/>
  <c r="AS34" i="4"/>
  <c r="AV34" i="4" s="1"/>
  <c r="AS30" i="4"/>
  <c r="AV30" i="4" s="1"/>
  <c r="AS26" i="4"/>
  <c r="AV26" i="4" s="1"/>
  <c r="AS22" i="4"/>
  <c r="AV22" i="4" s="1"/>
  <c r="AS18" i="4"/>
  <c r="AV18" i="4" s="1"/>
  <c r="AS14" i="4"/>
  <c r="AV14" i="4" s="1"/>
  <c r="E88" i="4"/>
  <c r="AS83" i="4"/>
  <c r="AV83" i="4" s="1"/>
  <c r="AS75" i="4"/>
  <c r="AV75" i="4" s="1"/>
  <c r="AS67" i="4"/>
  <c r="AV67" i="4" s="1"/>
  <c r="AS59" i="4"/>
  <c r="AV59" i="4" s="1"/>
  <c r="AS51" i="4"/>
  <c r="AV51" i="4" s="1"/>
  <c r="AS43" i="4"/>
  <c r="AV43" i="4" s="1"/>
  <c r="AS39" i="4"/>
  <c r="AV39" i="4" s="1"/>
  <c r="AS31" i="4"/>
  <c r="AV31" i="4" s="1"/>
  <c r="AS23" i="4"/>
  <c r="AV23" i="4" s="1"/>
  <c r="AS15" i="4"/>
  <c r="AV15" i="4" s="1"/>
  <c r="E86" i="4"/>
  <c r="AS85" i="4"/>
  <c r="AV85" i="4" s="1"/>
  <c r="AS81" i="4"/>
  <c r="AV81" i="4" s="1"/>
  <c r="AS77" i="4"/>
  <c r="AV77" i="4" s="1"/>
  <c r="AS73" i="4"/>
  <c r="AV73" i="4" s="1"/>
  <c r="AS69" i="4"/>
  <c r="AV69" i="4" s="1"/>
  <c r="AS65" i="4"/>
  <c r="AV65" i="4" s="1"/>
  <c r="AS61" i="4"/>
  <c r="AV61" i="4" s="1"/>
  <c r="AS57" i="4"/>
  <c r="AV57" i="4" s="1"/>
  <c r="AS53" i="4"/>
  <c r="AV53" i="4" s="1"/>
  <c r="AS49" i="4"/>
  <c r="AV49" i="4" s="1"/>
  <c r="AS45" i="4"/>
  <c r="AV45" i="4" s="1"/>
  <c r="AS41" i="4"/>
  <c r="AV41" i="4" s="1"/>
  <c r="AS37" i="4"/>
  <c r="AV37" i="4" s="1"/>
  <c r="AS33" i="4"/>
  <c r="AV33" i="4" s="1"/>
  <c r="AS29" i="4"/>
  <c r="AV29" i="4" s="1"/>
  <c r="AS25" i="4"/>
  <c r="AV25" i="4" s="1"/>
  <c r="AS21" i="4"/>
  <c r="AV21" i="4" s="1"/>
  <c r="AS17" i="4"/>
  <c r="AV17" i="4" s="1"/>
  <c r="AS13" i="4"/>
  <c r="AV13" i="4" s="1"/>
  <c r="AS84" i="4"/>
  <c r="AV84" i="4" s="1"/>
  <c r="AS80" i="4"/>
  <c r="AV80" i="4" s="1"/>
  <c r="AS76" i="4"/>
  <c r="AV76" i="4" s="1"/>
  <c r="AS72" i="4"/>
  <c r="AV72" i="4" s="1"/>
  <c r="AS68" i="4"/>
  <c r="AV68" i="4" s="1"/>
  <c r="AS64" i="4"/>
  <c r="AV64" i="4" s="1"/>
  <c r="AS60" i="4"/>
  <c r="AV60" i="4" s="1"/>
  <c r="AS56" i="4"/>
  <c r="AV56" i="4" s="1"/>
  <c r="AS52" i="4"/>
  <c r="AV52" i="4" s="1"/>
  <c r="AS48" i="4"/>
  <c r="AV48" i="4" s="1"/>
  <c r="AS44" i="4"/>
  <c r="AV44" i="4" s="1"/>
  <c r="AS40" i="4"/>
  <c r="AV40" i="4" s="1"/>
  <c r="AS36" i="4"/>
  <c r="AV36" i="4" s="1"/>
  <c r="AS32" i="4"/>
  <c r="AV32" i="4" s="1"/>
  <c r="AS28" i="4"/>
  <c r="AV28" i="4" s="1"/>
  <c r="AS24" i="4"/>
  <c r="AV24" i="4" s="1"/>
  <c r="AS20" i="4"/>
  <c r="AV20" i="4" s="1"/>
  <c r="AS16" i="4"/>
  <c r="AV16" i="4" s="1"/>
  <c r="AS86" i="4" l="1"/>
  <c r="AV86" i="4" s="1"/>
  <c r="AS88" i="4"/>
  <c r="AV88" i="4" s="1"/>
  <c r="AS87" i="4"/>
  <c r="AV87" i="4" s="1"/>
  <c r="I300" i="9" l="1"/>
  <c r="H60" i="1" l="1"/>
  <c r="O81" i="4" l="1"/>
  <c r="O82" i="4"/>
  <c r="O83" i="4"/>
  <c r="O84" i="4"/>
  <c r="O85" i="4"/>
  <c r="D81" i="4"/>
  <c r="F81" i="4"/>
  <c r="G81" i="4"/>
  <c r="AT81" i="4" s="1"/>
  <c r="H81" i="4"/>
  <c r="AQ81" i="4" s="1"/>
  <c r="I81" i="4"/>
  <c r="J81" i="4"/>
  <c r="AP81" i="4" s="1"/>
  <c r="K81" i="4"/>
  <c r="AU81" i="4" s="1"/>
  <c r="L81" i="4"/>
  <c r="AR81" i="4" s="1"/>
  <c r="M81" i="4"/>
  <c r="N81" i="4"/>
  <c r="C82" i="4"/>
  <c r="D82" i="4"/>
  <c r="F82" i="4"/>
  <c r="G82" i="4"/>
  <c r="AT82" i="4" s="1"/>
  <c r="H82" i="4"/>
  <c r="AQ82" i="4" s="1"/>
  <c r="I82" i="4"/>
  <c r="J82" i="4"/>
  <c r="AP82" i="4" s="1"/>
  <c r="K82" i="4"/>
  <c r="AU82" i="4" s="1"/>
  <c r="L82" i="4"/>
  <c r="AR82" i="4" s="1"/>
  <c r="M82" i="4"/>
  <c r="N82" i="4"/>
  <c r="C83" i="4"/>
  <c r="D83" i="4"/>
  <c r="F83" i="4"/>
  <c r="G83" i="4"/>
  <c r="AT83" i="4" s="1"/>
  <c r="H83" i="4"/>
  <c r="AQ83" i="4" s="1"/>
  <c r="I83" i="4"/>
  <c r="J83" i="4"/>
  <c r="AP83" i="4" s="1"/>
  <c r="K83" i="4"/>
  <c r="AU83" i="4" s="1"/>
  <c r="L83" i="4"/>
  <c r="AR83" i="4" s="1"/>
  <c r="M83" i="4"/>
  <c r="N83" i="4"/>
  <c r="C84" i="4"/>
  <c r="D84" i="4"/>
  <c r="F84" i="4"/>
  <c r="G84" i="4"/>
  <c r="AT84" i="4" s="1"/>
  <c r="H84" i="4"/>
  <c r="AQ84" i="4" s="1"/>
  <c r="I84" i="4"/>
  <c r="J84" i="4"/>
  <c r="AP84" i="4" s="1"/>
  <c r="K84" i="4"/>
  <c r="AU84" i="4" s="1"/>
  <c r="L84" i="4"/>
  <c r="AR84" i="4" s="1"/>
  <c r="M84" i="4"/>
  <c r="N84" i="4"/>
  <c r="C85" i="4"/>
  <c r="D85" i="4"/>
  <c r="F85" i="4"/>
  <c r="G85" i="4"/>
  <c r="AT85" i="4" s="1"/>
  <c r="H85" i="4"/>
  <c r="AQ85" i="4" s="1"/>
  <c r="I85" i="4"/>
  <c r="J85" i="4"/>
  <c r="AP85" i="4" s="1"/>
  <c r="K85" i="4"/>
  <c r="AU85" i="4" s="1"/>
  <c r="L85" i="4"/>
  <c r="AR85" i="4" s="1"/>
  <c r="M85" i="4"/>
  <c r="N85" i="4"/>
  <c r="P85" i="4" l="1"/>
  <c r="Y85" i="4" s="1"/>
  <c r="P81" i="4"/>
  <c r="Y81" i="4" s="1"/>
  <c r="AO85" i="4"/>
  <c r="Z85" i="4"/>
  <c r="AO81" i="4"/>
  <c r="Z81" i="4"/>
  <c r="AO82" i="4"/>
  <c r="Z82" i="4"/>
  <c r="AO83" i="4"/>
  <c r="Z83" i="4"/>
  <c r="AO84" i="4"/>
  <c r="Z84" i="4"/>
  <c r="P84" i="4"/>
  <c r="Y84" i="4" s="1"/>
  <c r="P83" i="4"/>
  <c r="Y83" i="4" s="1"/>
  <c r="P82" i="4"/>
  <c r="Y82" i="4" s="1"/>
  <c r="D25" i="3" l="1"/>
  <c r="B10" i="5" l="1"/>
  <c r="C6" i="2" l="1"/>
  <c r="C5" i="1"/>
  <c r="C9" i="2"/>
  <c r="C34" i="1"/>
  <c r="C46" i="1"/>
  <c r="C15" i="2"/>
  <c r="C29" i="1"/>
  <c r="C28" i="1"/>
  <c r="C27" i="1"/>
  <c r="C26" i="1"/>
  <c r="C53" i="1"/>
  <c r="C50" i="1"/>
  <c r="C44" i="1"/>
  <c r="C54" i="1"/>
  <c r="C38" i="1"/>
  <c r="C48" i="1"/>
  <c r="C41" i="1"/>
  <c r="C36" i="1"/>
  <c r="C14" i="2"/>
  <c r="C74" i="4"/>
  <c r="D74" i="4"/>
  <c r="F74" i="4"/>
  <c r="G74" i="4"/>
  <c r="AT74" i="4" s="1"/>
  <c r="H74" i="4"/>
  <c r="AQ74" i="4" s="1"/>
  <c r="I74" i="4"/>
  <c r="J74" i="4"/>
  <c r="AP74" i="4" s="1"/>
  <c r="K74" i="4"/>
  <c r="AU74" i="4" s="1"/>
  <c r="L74" i="4"/>
  <c r="AR74" i="4" s="1"/>
  <c r="M74" i="4"/>
  <c r="AN74" i="4" s="1"/>
  <c r="N74" i="4"/>
  <c r="O74" i="4"/>
  <c r="C75" i="4"/>
  <c r="D75" i="4"/>
  <c r="F75" i="4"/>
  <c r="G75" i="4"/>
  <c r="AT75" i="4" s="1"/>
  <c r="H75" i="4"/>
  <c r="AQ75" i="4" s="1"/>
  <c r="I75" i="4"/>
  <c r="J75" i="4"/>
  <c r="AP75" i="4" s="1"/>
  <c r="K75" i="4"/>
  <c r="AU75" i="4" s="1"/>
  <c r="L75" i="4"/>
  <c r="AR75" i="4" s="1"/>
  <c r="M75" i="4"/>
  <c r="AN75" i="4" s="1"/>
  <c r="N75" i="4"/>
  <c r="O75" i="4"/>
  <c r="C76" i="4"/>
  <c r="D76" i="4"/>
  <c r="F76" i="4"/>
  <c r="G76" i="4"/>
  <c r="AT76" i="4" s="1"/>
  <c r="H76" i="4"/>
  <c r="AQ76" i="4" s="1"/>
  <c r="I76" i="4"/>
  <c r="J76" i="4"/>
  <c r="AP76" i="4" s="1"/>
  <c r="K76" i="4"/>
  <c r="AU76" i="4" s="1"/>
  <c r="L76" i="4"/>
  <c r="AR76" i="4" s="1"/>
  <c r="M76" i="4"/>
  <c r="AN76" i="4" s="1"/>
  <c r="N76" i="4"/>
  <c r="O76" i="4"/>
  <c r="C77" i="4"/>
  <c r="D77" i="4"/>
  <c r="F77" i="4"/>
  <c r="G77" i="4"/>
  <c r="AT77" i="4" s="1"/>
  <c r="H77" i="4"/>
  <c r="AQ77" i="4" s="1"/>
  <c r="I77" i="4"/>
  <c r="J77" i="4"/>
  <c r="AP77" i="4" s="1"/>
  <c r="K77" i="4"/>
  <c r="AU77" i="4" s="1"/>
  <c r="L77" i="4"/>
  <c r="AR77" i="4" s="1"/>
  <c r="M77" i="4"/>
  <c r="AN77" i="4" s="1"/>
  <c r="N77" i="4"/>
  <c r="O77" i="4"/>
  <c r="C78" i="4"/>
  <c r="D78" i="4"/>
  <c r="F78" i="4"/>
  <c r="G78" i="4"/>
  <c r="AT78" i="4" s="1"/>
  <c r="H78" i="4"/>
  <c r="AQ78" i="4" s="1"/>
  <c r="I78" i="4"/>
  <c r="J78" i="4"/>
  <c r="AP78" i="4" s="1"/>
  <c r="K78" i="4"/>
  <c r="AU78" i="4" s="1"/>
  <c r="L78" i="4"/>
  <c r="AR78" i="4" s="1"/>
  <c r="M78" i="4"/>
  <c r="AN78" i="4" s="1"/>
  <c r="N78" i="4"/>
  <c r="O78" i="4"/>
  <c r="C79" i="4"/>
  <c r="D79" i="4"/>
  <c r="F79" i="4"/>
  <c r="G79" i="4"/>
  <c r="AT79" i="4" s="1"/>
  <c r="H79" i="4"/>
  <c r="AQ79" i="4" s="1"/>
  <c r="I79" i="4"/>
  <c r="J79" i="4"/>
  <c r="AP79" i="4" s="1"/>
  <c r="K79" i="4"/>
  <c r="AU79" i="4" s="1"/>
  <c r="L79" i="4"/>
  <c r="AR79" i="4" s="1"/>
  <c r="M79" i="4"/>
  <c r="AN79" i="4" s="1"/>
  <c r="N79" i="4"/>
  <c r="O79" i="4"/>
  <c r="C80" i="4"/>
  <c r="D80" i="4"/>
  <c r="F80" i="4"/>
  <c r="G80" i="4"/>
  <c r="AT80" i="4" s="1"/>
  <c r="H80" i="4"/>
  <c r="AQ80" i="4" s="1"/>
  <c r="I80" i="4"/>
  <c r="J80" i="4"/>
  <c r="AP80" i="4" s="1"/>
  <c r="K80" i="4"/>
  <c r="AU80" i="4" s="1"/>
  <c r="L80" i="4"/>
  <c r="AR80" i="4" s="1"/>
  <c r="M80" i="4"/>
  <c r="AN80" i="4" s="1"/>
  <c r="N80" i="4"/>
  <c r="O80" i="4"/>
  <c r="C53" i="4"/>
  <c r="D53" i="4"/>
  <c r="F53" i="4"/>
  <c r="G53" i="4"/>
  <c r="AT53" i="4" s="1"/>
  <c r="H53" i="4"/>
  <c r="AQ53" i="4" s="1"/>
  <c r="I53" i="4"/>
  <c r="J53" i="4"/>
  <c r="AP53" i="4" s="1"/>
  <c r="K53" i="4"/>
  <c r="AU53" i="4" s="1"/>
  <c r="L53" i="4"/>
  <c r="AR53" i="4" s="1"/>
  <c r="M53" i="4"/>
  <c r="AN53" i="4" s="1"/>
  <c r="N53" i="4"/>
  <c r="O53" i="4"/>
  <c r="C54" i="4"/>
  <c r="D54" i="4"/>
  <c r="F54" i="4"/>
  <c r="G54" i="4"/>
  <c r="AT54" i="4" s="1"/>
  <c r="H54" i="4"/>
  <c r="AQ54" i="4" s="1"/>
  <c r="I54" i="4"/>
  <c r="J54" i="4"/>
  <c r="AP54" i="4" s="1"/>
  <c r="K54" i="4"/>
  <c r="AU54" i="4" s="1"/>
  <c r="L54" i="4"/>
  <c r="AR54" i="4" s="1"/>
  <c r="M54" i="4"/>
  <c r="AN54" i="4" s="1"/>
  <c r="N54" i="4"/>
  <c r="O54" i="4"/>
  <c r="C55" i="4"/>
  <c r="D55" i="4"/>
  <c r="F55" i="4"/>
  <c r="G55" i="4"/>
  <c r="AT55" i="4" s="1"/>
  <c r="H55" i="4"/>
  <c r="AQ55" i="4" s="1"/>
  <c r="I55" i="4"/>
  <c r="J55" i="4"/>
  <c r="AP55" i="4" s="1"/>
  <c r="K55" i="4"/>
  <c r="AU55" i="4" s="1"/>
  <c r="L55" i="4"/>
  <c r="AR55" i="4" s="1"/>
  <c r="M55" i="4"/>
  <c r="AN55" i="4" s="1"/>
  <c r="N55" i="4"/>
  <c r="O55" i="4"/>
  <c r="C56" i="4"/>
  <c r="D56" i="4"/>
  <c r="F56" i="4"/>
  <c r="G56" i="4"/>
  <c r="AT56" i="4" s="1"/>
  <c r="H56" i="4"/>
  <c r="AQ56" i="4" s="1"/>
  <c r="I56" i="4"/>
  <c r="J56" i="4"/>
  <c r="AP56" i="4" s="1"/>
  <c r="K56" i="4"/>
  <c r="AU56" i="4" s="1"/>
  <c r="L56" i="4"/>
  <c r="AR56" i="4" s="1"/>
  <c r="M56" i="4"/>
  <c r="AN56" i="4" s="1"/>
  <c r="N56" i="4"/>
  <c r="O56" i="4"/>
  <c r="C57" i="4"/>
  <c r="D57" i="4"/>
  <c r="F57" i="4"/>
  <c r="G57" i="4"/>
  <c r="AT57" i="4" s="1"/>
  <c r="H57" i="4"/>
  <c r="AQ57" i="4" s="1"/>
  <c r="I57" i="4"/>
  <c r="J57" i="4"/>
  <c r="AP57" i="4" s="1"/>
  <c r="K57" i="4"/>
  <c r="AU57" i="4" s="1"/>
  <c r="L57" i="4"/>
  <c r="AR57" i="4" s="1"/>
  <c r="M57" i="4"/>
  <c r="AN57" i="4" s="1"/>
  <c r="N57" i="4"/>
  <c r="O57" i="4"/>
  <c r="C58" i="4"/>
  <c r="D58" i="4"/>
  <c r="F58" i="4"/>
  <c r="G58" i="4"/>
  <c r="AT58" i="4" s="1"/>
  <c r="H58" i="4"/>
  <c r="AQ58" i="4" s="1"/>
  <c r="I58" i="4"/>
  <c r="J58" i="4"/>
  <c r="AP58" i="4" s="1"/>
  <c r="K58" i="4"/>
  <c r="AU58" i="4" s="1"/>
  <c r="L58" i="4"/>
  <c r="AR58" i="4" s="1"/>
  <c r="M58" i="4"/>
  <c r="AN58" i="4" s="1"/>
  <c r="N58" i="4"/>
  <c r="O58" i="4"/>
  <c r="C59" i="4"/>
  <c r="D59" i="4"/>
  <c r="F59" i="4"/>
  <c r="G59" i="4"/>
  <c r="AT59" i="4" s="1"/>
  <c r="H59" i="4"/>
  <c r="AQ59" i="4" s="1"/>
  <c r="I59" i="4"/>
  <c r="J59" i="4"/>
  <c r="AP59" i="4" s="1"/>
  <c r="K59" i="4"/>
  <c r="AU59" i="4" s="1"/>
  <c r="L59" i="4"/>
  <c r="AR59" i="4" s="1"/>
  <c r="M59" i="4"/>
  <c r="AN59" i="4" s="1"/>
  <c r="N59" i="4"/>
  <c r="O59" i="4"/>
  <c r="C60" i="4"/>
  <c r="D60" i="4"/>
  <c r="F60" i="4"/>
  <c r="G60" i="4"/>
  <c r="AT60" i="4" s="1"/>
  <c r="H60" i="4"/>
  <c r="AQ60" i="4" s="1"/>
  <c r="I60" i="4"/>
  <c r="J60" i="4"/>
  <c r="AP60" i="4" s="1"/>
  <c r="K60" i="4"/>
  <c r="AU60" i="4" s="1"/>
  <c r="L60" i="4"/>
  <c r="AR60" i="4" s="1"/>
  <c r="M60" i="4"/>
  <c r="AN60" i="4" s="1"/>
  <c r="N60" i="4"/>
  <c r="O60" i="4"/>
  <c r="C61" i="4"/>
  <c r="D61" i="4"/>
  <c r="F61" i="4"/>
  <c r="G61" i="4"/>
  <c r="AT61" i="4" s="1"/>
  <c r="H61" i="4"/>
  <c r="AQ61" i="4" s="1"/>
  <c r="I61" i="4"/>
  <c r="J61" i="4"/>
  <c r="AP61" i="4" s="1"/>
  <c r="K61" i="4"/>
  <c r="AU61" i="4" s="1"/>
  <c r="L61" i="4"/>
  <c r="AR61" i="4" s="1"/>
  <c r="M61" i="4"/>
  <c r="AN61" i="4" s="1"/>
  <c r="N61" i="4"/>
  <c r="O61" i="4"/>
  <c r="C62" i="4"/>
  <c r="D62" i="4"/>
  <c r="F62" i="4"/>
  <c r="G62" i="4"/>
  <c r="AT62" i="4" s="1"/>
  <c r="H62" i="4"/>
  <c r="AQ62" i="4" s="1"/>
  <c r="I62" i="4"/>
  <c r="J62" i="4"/>
  <c r="AP62" i="4" s="1"/>
  <c r="K62" i="4"/>
  <c r="AU62" i="4" s="1"/>
  <c r="L62" i="4"/>
  <c r="AR62" i="4" s="1"/>
  <c r="M62" i="4"/>
  <c r="AN62" i="4" s="1"/>
  <c r="N62" i="4"/>
  <c r="O62" i="4"/>
  <c r="C63" i="4"/>
  <c r="D63" i="4"/>
  <c r="F63" i="4"/>
  <c r="G63" i="4"/>
  <c r="AT63" i="4" s="1"/>
  <c r="H63" i="4"/>
  <c r="AQ63" i="4" s="1"/>
  <c r="I63" i="4"/>
  <c r="J63" i="4"/>
  <c r="AP63" i="4" s="1"/>
  <c r="K63" i="4"/>
  <c r="AU63" i="4" s="1"/>
  <c r="L63" i="4"/>
  <c r="AR63" i="4" s="1"/>
  <c r="M63" i="4"/>
  <c r="AN63" i="4" s="1"/>
  <c r="N63" i="4"/>
  <c r="O63" i="4"/>
  <c r="C64" i="4"/>
  <c r="D64" i="4"/>
  <c r="F64" i="4"/>
  <c r="G64" i="4"/>
  <c r="AT64" i="4" s="1"/>
  <c r="H64" i="4"/>
  <c r="AQ64" i="4" s="1"/>
  <c r="I64" i="4"/>
  <c r="J64" i="4"/>
  <c r="AP64" i="4" s="1"/>
  <c r="K64" i="4"/>
  <c r="AU64" i="4" s="1"/>
  <c r="L64" i="4"/>
  <c r="AR64" i="4" s="1"/>
  <c r="M64" i="4"/>
  <c r="AN64" i="4" s="1"/>
  <c r="N64" i="4"/>
  <c r="O64" i="4"/>
  <c r="C65" i="4"/>
  <c r="D65" i="4"/>
  <c r="F65" i="4"/>
  <c r="G65" i="4"/>
  <c r="AT65" i="4" s="1"/>
  <c r="H65" i="4"/>
  <c r="AQ65" i="4" s="1"/>
  <c r="I65" i="4"/>
  <c r="J65" i="4"/>
  <c r="AP65" i="4" s="1"/>
  <c r="K65" i="4"/>
  <c r="AU65" i="4" s="1"/>
  <c r="L65" i="4"/>
  <c r="AR65" i="4" s="1"/>
  <c r="M65" i="4"/>
  <c r="AN65" i="4" s="1"/>
  <c r="N65" i="4"/>
  <c r="O65" i="4"/>
  <c r="C66" i="4"/>
  <c r="D66" i="4"/>
  <c r="F66" i="4"/>
  <c r="G66" i="4"/>
  <c r="AT66" i="4" s="1"/>
  <c r="H66" i="4"/>
  <c r="AQ66" i="4" s="1"/>
  <c r="I66" i="4"/>
  <c r="J66" i="4"/>
  <c r="AP66" i="4" s="1"/>
  <c r="K66" i="4"/>
  <c r="AU66" i="4" s="1"/>
  <c r="L66" i="4"/>
  <c r="AR66" i="4" s="1"/>
  <c r="M66" i="4"/>
  <c r="AN66" i="4" s="1"/>
  <c r="N66" i="4"/>
  <c r="O66" i="4"/>
  <c r="C67" i="4"/>
  <c r="D67" i="4"/>
  <c r="F67" i="4"/>
  <c r="G67" i="4"/>
  <c r="AT67" i="4" s="1"/>
  <c r="H67" i="4"/>
  <c r="AQ67" i="4" s="1"/>
  <c r="I67" i="4"/>
  <c r="J67" i="4"/>
  <c r="AP67" i="4" s="1"/>
  <c r="K67" i="4"/>
  <c r="AU67" i="4" s="1"/>
  <c r="L67" i="4"/>
  <c r="AR67" i="4" s="1"/>
  <c r="M67" i="4"/>
  <c r="AN67" i="4" s="1"/>
  <c r="N67" i="4"/>
  <c r="O67" i="4"/>
  <c r="C68" i="4"/>
  <c r="D68" i="4"/>
  <c r="F68" i="4"/>
  <c r="G68" i="4"/>
  <c r="AT68" i="4" s="1"/>
  <c r="H68" i="4"/>
  <c r="AQ68" i="4" s="1"/>
  <c r="I68" i="4"/>
  <c r="J68" i="4"/>
  <c r="AP68" i="4" s="1"/>
  <c r="K68" i="4"/>
  <c r="AU68" i="4" s="1"/>
  <c r="L68" i="4"/>
  <c r="AR68" i="4" s="1"/>
  <c r="M68" i="4"/>
  <c r="AN68" i="4" s="1"/>
  <c r="N68" i="4"/>
  <c r="O68" i="4"/>
  <c r="C69" i="4"/>
  <c r="D69" i="4"/>
  <c r="F69" i="4"/>
  <c r="G69" i="4"/>
  <c r="AT69" i="4" s="1"/>
  <c r="H69" i="4"/>
  <c r="AQ69" i="4" s="1"/>
  <c r="I69" i="4"/>
  <c r="J69" i="4"/>
  <c r="AP69" i="4" s="1"/>
  <c r="K69" i="4"/>
  <c r="AU69" i="4" s="1"/>
  <c r="L69" i="4"/>
  <c r="AR69" i="4" s="1"/>
  <c r="M69" i="4"/>
  <c r="AN69" i="4" s="1"/>
  <c r="N69" i="4"/>
  <c r="O69" i="4"/>
  <c r="C70" i="4"/>
  <c r="D70" i="4"/>
  <c r="F70" i="4"/>
  <c r="G70" i="4"/>
  <c r="AT70" i="4" s="1"/>
  <c r="H70" i="4"/>
  <c r="AQ70" i="4" s="1"/>
  <c r="I70" i="4"/>
  <c r="J70" i="4"/>
  <c r="AP70" i="4" s="1"/>
  <c r="K70" i="4"/>
  <c r="AU70" i="4" s="1"/>
  <c r="L70" i="4"/>
  <c r="AR70" i="4" s="1"/>
  <c r="M70" i="4"/>
  <c r="AN70" i="4" s="1"/>
  <c r="N70" i="4"/>
  <c r="O70" i="4"/>
  <c r="C71" i="4"/>
  <c r="D71" i="4"/>
  <c r="F71" i="4"/>
  <c r="G71" i="4"/>
  <c r="AT71" i="4" s="1"/>
  <c r="H71" i="4"/>
  <c r="AQ71" i="4" s="1"/>
  <c r="I71" i="4"/>
  <c r="J71" i="4"/>
  <c r="AP71" i="4" s="1"/>
  <c r="K71" i="4"/>
  <c r="AU71" i="4" s="1"/>
  <c r="L71" i="4"/>
  <c r="AR71" i="4" s="1"/>
  <c r="M71" i="4"/>
  <c r="AN71" i="4" s="1"/>
  <c r="N71" i="4"/>
  <c r="O71" i="4"/>
  <c r="C72" i="4"/>
  <c r="D72" i="4"/>
  <c r="F72" i="4"/>
  <c r="G72" i="4"/>
  <c r="AT72" i="4" s="1"/>
  <c r="H72" i="4"/>
  <c r="AQ72" i="4" s="1"/>
  <c r="I72" i="4"/>
  <c r="J72" i="4"/>
  <c r="AP72" i="4" s="1"/>
  <c r="K72" i="4"/>
  <c r="AU72" i="4" s="1"/>
  <c r="L72" i="4"/>
  <c r="AR72" i="4" s="1"/>
  <c r="M72" i="4"/>
  <c r="AN72" i="4" s="1"/>
  <c r="N72" i="4"/>
  <c r="O72" i="4"/>
  <c r="C73" i="4"/>
  <c r="D73" i="4"/>
  <c r="F73" i="4"/>
  <c r="G73" i="4"/>
  <c r="AT73" i="4" s="1"/>
  <c r="H73" i="4"/>
  <c r="AQ73" i="4" s="1"/>
  <c r="I73" i="4"/>
  <c r="J73" i="4"/>
  <c r="AP73" i="4" s="1"/>
  <c r="K73" i="4"/>
  <c r="AU73" i="4" s="1"/>
  <c r="L73" i="4"/>
  <c r="AR73" i="4" s="1"/>
  <c r="M73" i="4"/>
  <c r="AN73" i="4" s="1"/>
  <c r="N73" i="4"/>
  <c r="O73" i="4"/>
  <c r="C30" i="4"/>
  <c r="D30" i="4"/>
  <c r="F30" i="4"/>
  <c r="G30" i="4"/>
  <c r="AT30" i="4" s="1"/>
  <c r="H30" i="4"/>
  <c r="AQ30" i="4" s="1"/>
  <c r="I30" i="4"/>
  <c r="J30" i="4"/>
  <c r="AP30" i="4" s="1"/>
  <c r="K30" i="4"/>
  <c r="AU30" i="4" s="1"/>
  <c r="L30" i="4"/>
  <c r="AR30" i="4" s="1"/>
  <c r="M30" i="4"/>
  <c r="AN30" i="4" s="1"/>
  <c r="N30" i="4"/>
  <c r="O30" i="4"/>
  <c r="C31" i="4"/>
  <c r="D31" i="4"/>
  <c r="F31" i="4"/>
  <c r="G31" i="4"/>
  <c r="AT31" i="4" s="1"/>
  <c r="H31" i="4"/>
  <c r="AQ31" i="4" s="1"/>
  <c r="I31" i="4"/>
  <c r="J31" i="4"/>
  <c r="AP31" i="4" s="1"/>
  <c r="K31" i="4"/>
  <c r="AU31" i="4" s="1"/>
  <c r="L31" i="4"/>
  <c r="AR31" i="4" s="1"/>
  <c r="M31" i="4"/>
  <c r="AN31" i="4" s="1"/>
  <c r="N31" i="4"/>
  <c r="O31" i="4"/>
  <c r="C32" i="4"/>
  <c r="D32" i="4"/>
  <c r="F32" i="4"/>
  <c r="G32" i="4"/>
  <c r="AT32" i="4" s="1"/>
  <c r="H32" i="4"/>
  <c r="AQ32" i="4" s="1"/>
  <c r="I32" i="4"/>
  <c r="J32" i="4"/>
  <c r="AP32" i="4" s="1"/>
  <c r="K32" i="4"/>
  <c r="AU32" i="4" s="1"/>
  <c r="L32" i="4"/>
  <c r="AR32" i="4" s="1"/>
  <c r="M32" i="4"/>
  <c r="AN32" i="4" s="1"/>
  <c r="N32" i="4"/>
  <c r="O32" i="4"/>
  <c r="C33" i="4"/>
  <c r="D33" i="4"/>
  <c r="F33" i="4"/>
  <c r="G33" i="4"/>
  <c r="AT33" i="4" s="1"/>
  <c r="H33" i="4"/>
  <c r="AQ33" i="4" s="1"/>
  <c r="I33" i="4"/>
  <c r="J33" i="4"/>
  <c r="AP33" i="4" s="1"/>
  <c r="K33" i="4"/>
  <c r="AU33" i="4" s="1"/>
  <c r="L33" i="4"/>
  <c r="AR33" i="4" s="1"/>
  <c r="M33" i="4"/>
  <c r="AN33" i="4" s="1"/>
  <c r="N33" i="4"/>
  <c r="O33" i="4"/>
  <c r="C34" i="4"/>
  <c r="D34" i="4"/>
  <c r="F34" i="4"/>
  <c r="G34" i="4"/>
  <c r="AT34" i="4" s="1"/>
  <c r="H34" i="4"/>
  <c r="AQ34" i="4" s="1"/>
  <c r="I34" i="4"/>
  <c r="J34" i="4"/>
  <c r="AP34" i="4" s="1"/>
  <c r="K34" i="4"/>
  <c r="AU34" i="4" s="1"/>
  <c r="L34" i="4"/>
  <c r="AR34" i="4" s="1"/>
  <c r="M34" i="4"/>
  <c r="AN34" i="4" s="1"/>
  <c r="N34" i="4"/>
  <c r="O34" i="4"/>
  <c r="C35" i="4"/>
  <c r="D35" i="4"/>
  <c r="F35" i="4"/>
  <c r="G35" i="4"/>
  <c r="AT35" i="4" s="1"/>
  <c r="H35" i="4"/>
  <c r="AQ35" i="4" s="1"/>
  <c r="I35" i="4"/>
  <c r="J35" i="4"/>
  <c r="AP35" i="4" s="1"/>
  <c r="K35" i="4"/>
  <c r="AU35" i="4" s="1"/>
  <c r="L35" i="4"/>
  <c r="AR35" i="4" s="1"/>
  <c r="M35" i="4"/>
  <c r="AN35" i="4" s="1"/>
  <c r="N35" i="4"/>
  <c r="O35" i="4"/>
  <c r="C36" i="4"/>
  <c r="D36" i="4"/>
  <c r="F36" i="4"/>
  <c r="G36" i="4"/>
  <c r="AT36" i="4" s="1"/>
  <c r="H36" i="4"/>
  <c r="AQ36" i="4" s="1"/>
  <c r="I36" i="4"/>
  <c r="J36" i="4"/>
  <c r="AP36" i="4" s="1"/>
  <c r="K36" i="4"/>
  <c r="AU36" i="4" s="1"/>
  <c r="L36" i="4"/>
  <c r="AR36" i="4" s="1"/>
  <c r="M36" i="4"/>
  <c r="AN36" i="4" s="1"/>
  <c r="N36" i="4"/>
  <c r="O36" i="4"/>
  <c r="C37" i="4"/>
  <c r="D37" i="4"/>
  <c r="F37" i="4"/>
  <c r="G37" i="4"/>
  <c r="AT37" i="4" s="1"/>
  <c r="H37" i="4"/>
  <c r="AQ37" i="4" s="1"/>
  <c r="I37" i="4"/>
  <c r="J37" i="4"/>
  <c r="AP37" i="4" s="1"/>
  <c r="K37" i="4"/>
  <c r="AU37" i="4" s="1"/>
  <c r="L37" i="4"/>
  <c r="AR37" i="4" s="1"/>
  <c r="M37" i="4"/>
  <c r="AN37" i="4" s="1"/>
  <c r="N37" i="4"/>
  <c r="O37" i="4"/>
  <c r="C38" i="4"/>
  <c r="D38" i="4"/>
  <c r="F38" i="4"/>
  <c r="G38" i="4"/>
  <c r="AT38" i="4" s="1"/>
  <c r="H38" i="4"/>
  <c r="AQ38" i="4" s="1"/>
  <c r="I38" i="4"/>
  <c r="J38" i="4"/>
  <c r="AP38" i="4" s="1"/>
  <c r="K38" i="4"/>
  <c r="AU38" i="4" s="1"/>
  <c r="L38" i="4"/>
  <c r="AR38" i="4" s="1"/>
  <c r="M38" i="4"/>
  <c r="AN38" i="4" s="1"/>
  <c r="N38" i="4"/>
  <c r="O38" i="4"/>
  <c r="C39" i="4"/>
  <c r="D39" i="4"/>
  <c r="F39" i="4"/>
  <c r="G39" i="4"/>
  <c r="AT39" i="4" s="1"/>
  <c r="H39" i="4"/>
  <c r="AQ39" i="4" s="1"/>
  <c r="I39" i="4"/>
  <c r="J39" i="4"/>
  <c r="AP39" i="4" s="1"/>
  <c r="K39" i="4"/>
  <c r="AU39" i="4" s="1"/>
  <c r="L39" i="4"/>
  <c r="AR39" i="4" s="1"/>
  <c r="M39" i="4"/>
  <c r="AN39" i="4" s="1"/>
  <c r="N39" i="4"/>
  <c r="O39" i="4"/>
  <c r="C40" i="4"/>
  <c r="D40" i="4"/>
  <c r="F40" i="4"/>
  <c r="G40" i="4"/>
  <c r="AT40" i="4" s="1"/>
  <c r="H40" i="4"/>
  <c r="AQ40" i="4" s="1"/>
  <c r="I40" i="4"/>
  <c r="J40" i="4"/>
  <c r="AP40" i="4" s="1"/>
  <c r="K40" i="4"/>
  <c r="AU40" i="4" s="1"/>
  <c r="L40" i="4"/>
  <c r="AR40" i="4" s="1"/>
  <c r="M40" i="4"/>
  <c r="AN40" i="4" s="1"/>
  <c r="N40" i="4"/>
  <c r="O40" i="4"/>
  <c r="C41" i="4"/>
  <c r="D41" i="4"/>
  <c r="F41" i="4"/>
  <c r="G41" i="4"/>
  <c r="AT41" i="4" s="1"/>
  <c r="H41" i="4"/>
  <c r="AQ41" i="4" s="1"/>
  <c r="I41" i="4"/>
  <c r="J41" i="4"/>
  <c r="AP41" i="4" s="1"/>
  <c r="K41" i="4"/>
  <c r="AU41" i="4" s="1"/>
  <c r="L41" i="4"/>
  <c r="AR41" i="4" s="1"/>
  <c r="M41" i="4"/>
  <c r="AN41" i="4" s="1"/>
  <c r="N41" i="4"/>
  <c r="O41" i="4"/>
  <c r="C42" i="4"/>
  <c r="D42" i="4"/>
  <c r="F42" i="4"/>
  <c r="G42" i="4"/>
  <c r="AT42" i="4" s="1"/>
  <c r="H42" i="4"/>
  <c r="AQ42" i="4" s="1"/>
  <c r="I42" i="4"/>
  <c r="J42" i="4"/>
  <c r="AP42" i="4" s="1"/>
  <c r="K42" i="4"/>
  <c r="AU42" i="4" s="1"/>
  <c r="L42" i="4"/>
  <c r="AR42" i="4" s="1"/>
  <c r="M42" i="4"/>
  <c r="AN42" i="4" s="1"/>
  <c r="N42" i="4"/>
  <c r="O42" i="4"/>
  <c r="C43" i="4"/>
  <c r="D43" i="4"/>
  <c r="F43" i="4"/>
  <c r="G43" i="4"/>
  <c r="AT43" i="4" s="1"/>
  <c r="H43" i="4"/>
  <c r="AQ43" i="4" s="1"/>
  <c r="I43" i="4"/>
  <c r="J43" i="4"/>
  <c r="AP43" i="4" s="1"/>
  <c r="K43" i="4"/>
  <c r="AU43" i="4" s="1"/>
  <c r="L43" i="4"/>
  <c r="AR43" i="4" s="1"/>
  <c r="M43" i="4"/>
  <c r="AN43" i="4" s="1"/>
  <c r="N43" i="4"/>
  <c r="O43" i="4"/>
  <c r="C44" i="4"/>
  <c r="D44" i="4"/>
  <c r="F44" i="4"/>
  <c r="G44" i="4"/>
  <c r="AT44" i="4" s="1"/>
  <c r="H44" i="4"/>
  <c r="AQ44" i="4" s="1"/>
  <c r="I44" i="4"/>
  <c r="J44" i="4"/>
  <c r="AP44" i="4" s="1"/>
  <c r="K44" i="4"/>
  <c r="AU44" i="4" s="1"/>
  <c r="L44" i="4"/>
  <c r="AR44" i="4" s="1"/>
  <c r="M44" i="4"/>
  <c r="AN44" i="4" s="1"/>
  <c r="N44" i="4"/>
  <c r="O44" i="4"/>
  <c r="C45" i="4"/>
  <c r="D45" i="4"/>
  <c r="F45" i="4"/>
  <c r="G45" i="4"/>
  <c r="AT45" i="4" s="1"/>
  <c r="H45" i="4"/>
  <c r="AQ45" i="4" s="1"/>
  <c r="I45" i="4"/>
  <c r="J45" i="4"/>
  <c r="AP45" i="4" s="1"/>
  <c r="K45" i="4"/>
  <c r="AU45" i="4" s="1"/>
  <c r="L45" i="4"/>
  <c r="AR45" i="4" s="1"/>
  <c r="M45" i="4"/>
  <c r="AN45" i="4" s="1"/>
  <c r="N45" i="4"/>
  <c r="O45" i="4"/>
  <c r="C46" i="4"/>
  <c r="D46" i="4"/>
  <c r="F46" i="4"/>
  <c r="G46" i="4"/>
  <c r="AT46" i="4" s="1"/>
  <c r="H46" i="4"/>
  <c r="AQ46" i="4" s="1"/>
  <c r="I46" i="4"/>
  <c r="J46" i="4"/>
  <c r="AP46" i="4" s="1"/>
  <c r="K46" i="4"/>
  <c r="AU46" i="4" s="1"/>
  <c r="L46" i="4"/>
  <c r="AR46" i="4" s="1"/>
  <c r="M46" i="4"/>
  <c r="AN46" i="4" s="1"/>
  <c r="N46" i="4"/>
  <c r="O46" i="4"/>
  <c r="C47" i="4"/>
  <c r="D47" i="4"/>
  <c r="F47" i="4"/>
  <c r="G47" i="4"/>
  <c r="AT47" i="4" s="1"/>
  <c r="H47" i="4"/>
  <c r="AQ47" i="4" s="1"/>
  <c r="I47" i="4"/>
  <c r="J47" i="4"/>
  <c r="AP47" i="4" s="1"/>
  <c r="K47" i="4"/>
  <c r="AU47" i="4" s="1"/>
  <c r="L47" i="4"/>
  <c r="AR47" i="4" s="1"/>
  <c r="M47" i="4"/>
  <c r="AN47" i="4" s="1"/>
  <c r="N47" i="4"/>
  <c r="O47" i="4"/>
  <c r="C48" i="4"/>
  <c r="D48" i="4"/>
  <c r="F48" i="4"/>
  <c r="G48" i="4"/>
  <c r="AT48" i="4" s="1"/>
  <c r="H48" i="4"/>
  <c r="AQ48" i="4" s="1"/>
  <c r="I48" i="4"/>
  <c r="J48" i="4"/>
  <c r="AP48" i="4" s="1"/>
  <c r="K48" i="4"/>
  <c r="AU48" i="4" s="1"/>
  <c r="L48" i="4"/>
  <c r="AR48" i="4" s="1"/>
  <c r="M48" i="4"/>
  <c r="AN48" i="4" s="1"/>
  <c r="N48" i="4"/>
  <c r="O48" i="4"/>
  <c r="C49" i="4"/>
  <c r="D49" i="4"/>
  <c r="F49" i="4"/>
  <c r="G49" i="4"/>
  <c r="AT49" i="4" s="1"/>
  <c r="H49" i="4"/>
  <c r="AQ49" i="4" s="1"/>
  <c r="I49" i="4"/>
  <c r="J49" i="4"/>
  <c r="AP49" i="4" s="1"/>
  <c r="K49" i="4"/>
  <c r="AU49" i="4" s="1"/>
  <c r="L49" i="4"/>
  <c r="AR49" i="4" s="1"/>
  <c r="M49" i="4"/>
  <c r="AN49" i="4" s="1"/>
  <c r="N49" i="4"/>
  <c r="O49" i="4"/>
  <c r="C50" i="4"/>
  <c r="D50" i="4"/>
  <c r="F50" i="4"/>
  <c r="G50" i="4"/>
  <c r="AT50" i="4" s="1"/>
  <c r="H50" i="4"/>
  <c r="AQ50" i="4" s="1"/>
  <c r="I50" i="4"/>
  <c r="J50" i="4"/>
  <c r="AP50" i="4" s="1"/>
  <c r="K50" i="4"/>
  <c r="AU50" i="4" s="1"/>
  <c r="L50" i="4"/>
  <c r="AR50" i="4" s="1"/>
  <c r="M50" i="4"/>
  <c r="AN50" i="4" s="1"/>
  <c r="N50" i="4"/>
  <c r="O50" i="4"/>
  <c r="C51" i="4"/>
  <c r="D51" i="4"/>
  <c r="F51" i="4"/>
  <c r="G51" i="4"/>
  <c r="AT51" i="4" s="1"/>
  <c r="H51" i="4"/>
  <c r="AQ51" i="4" s="1"/>
  <c r="I51" i="4"/>
  <c r="J51" i="4"/>
  <c r="AP51" i="4" s="1"/>
  <c r="K51" i="4"/>
  <c r="AU51" i="4" s="1"/>
  <c r="L51" i="4"/>
  <c r="AR51" i="4" s="1"/>
  <c r="M51" i="4"/>
  <c r="AN51" i="4" s="1"/>
  <c r="N51" i="4"/>
  <c r="O51" i="4"/>
  <c r="C52" i="4"/>
  <c r="D52" i="4"/>
  <c r="F52" i="4"/>
  <c r="G52" i="4"/>
  <c r="AT52" i="4" s="1"/>
  <c r="H52" i="4"/>
  <c r="AQ52" i="4" s="1"/>
  <c r="I52" i="4"/>
  <c r="J52" i="4"/>
  <c r="AP52" i="4" s="1"/>
  <c r="K52" i="4"/>
  <c r="AU52" i="4" s="1"/>
  <c r="L52" i="4"/>
  <c r="AR52" i="4" s="1"/>
  <c r="M52" i="4"/>
  <c r="AN52" i="4" s="1"/>
  <c r="N52" i="4"/>
  <c r="O52" i="4"/>
  <c r="C5" i="4"/>
  <c r="D5" i="4"/>
  <c r="F5" i="4"/>
  <c r="AO5" i="4" s="1"/>
  <c r="G5" i="4"/>
  <c r="AT5" i="4" s="1"/>
  <c r="H5" i="4"/>
  <c r="AQ5" i="4" s="1"/>
  <c r="I5" i="4"/>
  <c r="J5" i="4"/>
  <c r="AP5" i="4" s="1"/>
  <c r="K5" i="4"/>
  <c r="AU5" i="4" s="1"/>
  <c r="L5" i="4"/>
  <c r="AR5" i="4" s="1"/>
  <c r="M5" i="4"/>
  <c r="AN5" i="4" s="1"/>
  <c r="N5" i="4"/>
  <c r="O5" i="4"/>
  <c r="C6" i="4"/>
  <c r="D6" i="4"/>
  <c r="F6" i="4"/>
  <c r="AO6" i="4" s="1"/>
  <c r="G6" i="4"/>
  <c r="AT6" i="4" s="1"/>
  <c r="H6" i="4"/>
  <c r="AQ6" i="4" s="1"/>
  <c r="I6" i="4"/>
  <c r="J6" i="4"/>
  <c r="AP6" i="4" s="1"/>
  <c r="K6" i="4"/>
  <c r="AU6" i="4" s="1"/>
  <c r="L6" i="4"/>
  <c r="AR6" i="4" s="1"/>
  <c r="M6" i="4"/>
  <c r="AN6" i="4" s="1"/>
  <c r="N6" i="4"/>
  <c r="O6" i="4"/>
  <c r="C7" i="4"/>
  <c r="D7" i="4"/>
  <c r="F7" i="4"/>
  <c r="AO7" i="4" s="1"/>
  <c r="G7" i="4"/>
  <c r="AT7" i="4" s="1"/>
  <c r="H7" i="4"/>
  <c r="AQ7" i="4" s="1"/>
  <c r="I7" i="4"/>
  <c r="J7" i="4"/>
  <c r="AP7" i="4" s="1"/>
  <c r="K7" i="4"/>
  <c r="AU7" i="4" s="1"/>
  <c r="L7" i="4"/>
  <c r="AR7" i="4" s="1"/>
  <c r="M7" i="4"/>
  <c r="AN7" i="4" s="1"/>
  <c r="N7" i="4"/>
  <c r="O7" i="4"/>
  <c r="C8" i="4"/>
  <c r="D8" i="4"/>
  <c r="F8" i="4"/>
  <c r="AO8" i="4" s="1"/>
  <c r="G8" i="4"/>
  <c r="AT8" i="4" s="1"/>
  <c r="H8" i="4"/>
  <c r="AQ8" i="4" s="1"/>
  <c r="I8" i="4"/>
  <c r="J8" i="4"/>
  <c r="AP8" i="4" s="1"/>
  <c r="K8" i="4"/>
  <c r="AU8" i="4" s="1"/>
  <c r="L8" i="4"/>
  <c r="AR8" i="4" s="1"/>
  <c r="M8" i="4"/>
  <c r="AN8" i="4" s="1"/>
  <c r="N8" i="4"/>
  <c r="O8" i="4"/>
  <c r="C9" i="4"/>
  <c r="D9" i="4"/>
  <c r="F9" i="4"/>
  <c r="AO9" i="4" s="1"/>
  <c r="G9" i="4"/>
  <c r="AT9" i="4" s="1"/>
  <c r="H9" i="4"/>
  <c r="AQ9" i="4" s="1"/>
  <c r="I9" i="4"/>
  <c r="J9" i="4"/>
  <c r="AP9" i="4" s="1"/>
  <c r="K9" i="4"/>
  <c r="AU9" i="4" s="1"/>
  <c r="L9" i="4"/>
  <c r="AR9" i="4" s="1"/>
  <c r="M9" i="4"/>
  <c r="AN9" i="4" s="1"/>
  <c r="N9" i="4"/>
  <c r="O9" i="4"/>
  <c r="C10" i="4"/>
  <c r="D10" i="4"/>
  <c r="F10" i="4"/>
  <c r="AO10" i="4" s="1"/>
  <c r="G10" i="4"/>
  <c r="AT10" i="4" s="1"/>
  <c r="H10" i="4"/>
  <c r="AQ10" i="4" s="1"/>
  <c r="I10" i="4"/>
  <c r="J10" i="4"/>
  <c r="AP10" i="4" s="1"/>
  <c r="K10" i="4"/>
  <c r="AU10" i="4" s="1"/>
  <c r="L10" i="4"/>
  <c r="AR10" i="4" s="1"/>
  <c r="M10" i="4"/>
  <c r="AN10" i="4" s="1"/>
  <c r="N10" i="4"/>
  <c r="O10" i="4"/>
  <c r="C11" i="4"/>
  <c r="D11" i="4"/>
  <c r="F11" i="4"/>
  <c r="AO11" i="4" s="1"/>
  <c r="G11" i="4"/>
  <c r="AT11" i="4" s="1"/>
  <c r="H11" i="4"/>
  <c r="AQ11" i="4" s="1"/>
  <c r="I11" i="4"/>
  <c r="J11" i="4"/>
  <c r="AP11" i="4" s="1"/>
  <c r="K11" i="4"/>
  <c r="AU11" i="4" s="1"/>
  <c r="L11" i="4"/>
  <c r="AR11" i="4" s="1"/>
  <c r="M11" i="4"/>
  <c r="AN11" i="4" s="1"/>
  <c r="N11" i="4"/>
  <c r="O11" i="4"/>
  <c r="C12" i="4"/>
  <c r="D12" i="4"/>
  <c r="F12" i="4"/>
  <c r="AO12" i="4" s="1"/>
  <c r="G12" i="4"/>
  <c r="AT12" i="4" s="1"/>
  <c r="H12" i="4"/>
  <c r="AQ12" i="4" s="1"/>
  <c r="I12" i="4"/>
  <c r="J12" i="4"/>
  <c r="AP12" i="4" s="1"/>
  <c r="K12" i="4"/>
  <c r="AU12" i="4" s="1"/>
  <c r="L12" i="4"/>
  <c r="AR12" i="4" s="1"/>
  <c r="M12" i="4"/>
  <c r="AN12" i="4" s="1"/>
  <c r="N12" i="4"/>
  <c r="O12" i="4"/>
  <c r="C13" i="4"/>
  <c r="D13" i="4"/>
  <c r="F13" i="4"/>
  <c r="G13" i="4"/>
  <c r="AT13" i="4" s="1"/>
  <c r="H13" i="4"/>
  <c r="AQ13" i="4" s="1"/>
  <c r="I13" i="4"/>
  <c r="J13" i="4"/>
  <c r="AP13" i="4" s="1"/>
  <c r="K13" i="4"/>
  <c r="AU13" i="4" s="1"/>
  <c r="L13" i="4"/>
  <c r="AR13" i="4" s="1"/>
  <c r="M13" i="4"/>
  <c r="AN13" i="4" s="1"/>
  <c r="N13" i="4"/>
  <c r="O13" i="4"/>
  <c r="C14" i="4"/>
  <c r="D14" i="4"/>
  <c r="F14" i="4"/>
  <c r="G14" i="4"/>
  <c r="AT14" i="4" s="1"/>
  <c r="H14" i="4"/>
  <c r="AQ14" i="4" s="1"/>
  <c r="I14" i="4"/>
  <c r="J14" i="4"/>
  <c r="AP14" i="4" s="1"/>
  <c r="K14" i="4"/>
  <c r="AU14" i="4" s="1"/>
  <c r="L14" i="4"/>
  <c r="AR14" i="4" s="1"/>
  <c r="M14" i="4"/>
  <c r="AN14" i="4" s="1"/>
  <c r="N14" i="4"/>
  <c r="O14" i="4"/>
  <c r="C15" i="4"/>
  <c r="D15" i="4"/>
  <c r="F15" i="4"/>
  <c r="G15" i="4"/>
  <c r="AT15" i="4" s="1"/>
  <c r="H15" i="4"/>
  <c r="AQ15" i="4" s="1"/>
  <c r="I15" i="4"/>
  <c r="J15" i="4"/>
  <c r="AP15" i="4" s="1"/>
  <c r="K15" i="4"/>
  <c r="AU15" i="4" s="1"/>
  <c r="L15" i="4"/>
  <c r="AR15" i="4" s="1"/>
  <c r="M15" i="4"/>
  <c r="AN15" i="4" s="1"/>
  <c r="N15" i="4"/>
  <c r="O15" i="4"/>
  <c r="C16" i="4"/>
  <c r="D16" i="4"/>
  <c r="F16" i="4"/>
  <c r="G16" i="4"/>
  <c r="AT16" i="4" s="1"/>
  <c r="H16" i="4"/>
  <c r="AQ16" i="4" s="1"/>
  <c r="I16" i="4"/>
  <c r="J16" i="4"/>
  <c r="AP16" i="4" s="1"/>
  <c r="K16" i="4"/>
  <c r="AU16" i="4" s="1"/>
  <c r="L16" i="4"/>
  <c r="AR16" i="4" s="1"/>
  <c r="M16" i="4"/>
  <c r="AN16" i="4" s="1"/>
  <c r="N16" i="4"/>
  <c r="O16" i="4"/>
  <c r="C17" i="4"/>
  <c r="D17" i="4"/>
  <c r="F17" i="4"/>
  <c r="G17" i="4"/>
  <c r="AT17" i="4" s="1"/>
  <c r="H17" i="4"/>
  <c r="AQ17" i="4" s="1"/>
  <c r="I17" i="4"/>
  <c r="J17" i="4"/>
  <c r="AP17" i="4" s="1"/>
  <c r="K17" i="4"/>
  <c r="AU17" i="4" s="1"/>
  <c r="L17" i="4"/>
  <c r="AR17" i="4" s="1"/>
  <c r="M17" i="4"/>
  <c r="AN17" i="4" s="1"/>
  <c r="N17" i="4"/>
  <c r="O17" i="4"/>
  <c r="C18" i="4"/>
  <c r="D18" i="4"/>
  <c r="F18" i="4"/>
  <c r="G18" i="4"/>
  <c r="AT18" i="4" s="1"/>
  <c r="H18" i="4"/>
  <c r="AQ18" i="4" s="1"/>
  <c r="I18" i="4"/>
  <c r="J18" i="4"/>
  <c r="AP18" i="4" s="1"/>
  <c r="K18" i="4"/>
  <c r="AU18" i="4" s="1"/>
  <c r="L18" i="4"/>
  <c r="AR18" i="4" s="1"/>
  <c r="M18" i="4"/>
  <c r="AN18" i="4" s="1"/>
  <c r="N18" i="4"/>
  <c r="O18" i="4"/>
  <c r="C19" i="4"/>
  <c r="D19" i="4"/>
  <c r="F19" i="4"/>
  <c r="G19" i="4"/>
  <c r="AT19" i="4" s="1"/>
  <c r="H19" i="4"/>
  <c r="AQ19" i="4" s="1"/>
  <c r="I19" i="4"/>
  <c r="J19" i="4"/>
  <c r="AP19" i="4" s="1"/>
  <c r="K19" i="4"/>
  <c r="AU19" i="4" s="1"/>
  <c r="L19" i="4"/>
  <c r="AR19" i="4" s="1"/>
  <c r="M19" i="4"/>
  <c r="AN19" i="4" s="1"/>
  <c r="N19" i="4"/>
  <c r="O19" i="4"/>
  <c r="C20" i="4"/>
  <c r="D20" i="4"/>
  <c r="F20" i="4"/>
  <c r="G20" i="4"/>
  <c r="AT20" i="4" s="1"/>
  <c r="H20" i="4"/>
  <c r="AQ20" i="4" s="1"/>
  <c r="I20" i="4"/>
  <c r="J20" i="4"/>
  <c r="AP20" i="4" s="1"/>
  <c r="K20" i="4"/>
  <c r="AU20" i="4" s="1"/>
  <c r="L20" i="4"/>
  <c r="AR20" i="4" s="1"/>
  <c r="M20" i="4"/>
  <c r="AN20" i="4" s="1"/>
  <c r="N20" i="4"/>
  <c r="O20" i="4"/>
  <c r="C21" i="4"/>
  <c r="D21" i="4"/>
  <c r="F21" i="4"/>
  <c r="G21" i="4"/>
  <c r="AT21" i="4" s="1"/>
  <c r="H21" i="4"/>
  <c r="AQ21" i="4" s="1"/>
  <c r="I21" i="4"/>
  <c r="J21" i="4"/>
  <c r="AP21" i="4" s="1"/>
  <c r="K21" i="4"/>
  <c r="AU21" i="4" s="1"/>
  <c r="L21" i="4"/>
  <c r="AR21" i="4" s="1"/>
  <c r="M21" i="4"/>
  <c r="AN21" i="4" s="1"/>
  <c r="N21" i="4"/>
  <c r="O21" i="4"/>
  <c r="C22" i="4"/>
  <c r="D22" i="4"/>
  <c r="F22" i="4"/>
  <c r="G22" i="4"/>
  <c r="AT22" i="4" s="1"/>
  <c r="H22" i="4"/>
  <c r="AQ22" i="4" s="1"/>
  <c r="I22" i="4"/>
  <c r="J22" i="4"/>
  <c r="AP22" i="4" s="1"/>
  <c r="K22" i="4"/>
  <c r="AU22" i="4" s="1"/>
  <c r="L22" i="4"/>
  <c r="AR22" i="4" s="1"/>
  <c r="M22" i="4"/>
  <c r="AN22" i="4" s="1"/>
  <c r="N22" i="4"/>
  <c r="O22" i="4"/>
  <c r="C23" i="4"/>
  <c r="D23" i="4"/>
  <c r="F23" i="4"/>
  <c r="G23" i="4"/>
  <c r="AT23" i="4" s="1"/>
  <c r="H23" i="4"/>
  <c r="AQ23" i="4" s="1"/>
  <c r="I23" i="4"/>
  <c r="J23" i="4"/>
  <c r="AP23" i="4" s="1"/>
  <c r="K23" i="4"/>
  <c r="AU23" i="4" s="1"/>
  <c r="L23" i="4"/>
  <c r="AR23" i="4" s="1"/>
  <c r="M23" i="4"/>
  <c r="AN23" i="4" s="1"/>
  <c r="N23" i="4"/>
  <c r="O23" i="4"/>
  <c r="C24" i="4"/>
  <c r="D24" i="4"/>
  <c r="F24" i="4"/>
  <c r="G24" i="4"/>
  <c r="AT24" i="4" s="1"/>
  <c r="H24" i="4"/>
  <c r="AQ24" i="4" s="1"/>
  <c r="I24" i="4"/>
  <c r="J24" i="4"/>
  <c r="AP24" i="4" s="1"/>
  <c r="K24" i="4"/>
  <c r="AU24" i="4" s="1"/>
  <c r="L24" i="4"/>
  <c r="AR24" i="4" s="1"/>
  <c r="M24" i="4"/>
  <c r="AN24" i="4" s="1"/>
  <c r="N24" i="4"/>
  <c r="O24" i="4"/>
  <c r="C25" i="4"/>
  <c r="D25" i="4"/>
  <c r="F25" i="4"/>
  <c r="G25" i="4"/>
  <c r="AT25" i="4" s="1"/>
  <c r="H25" i="4"/>
  <c r="AQ25" i="4" s="1"/>
  <c r="I25" i="4"/>
  <c r="J25" i="4"/>
  <c r="AP25" i="4" s="1"/>
  <c r="K25" i="4"/>
  <c r="AU25" i="4" s="1"/>
  <c r="L25" i="4"/>
  <c r="AR25" i="4" s="1"/>
  <c r="M25" i="4"/>
  <c r="AN25" i="4" s="1"/>
  <c r="N25" i="4"/>
  <c r="O25" i="4"/>
  <c r="C26" i="4"/>
  <c r="D26" i="4"/>
  <c r="F26" i="4"/>
  <c r="G26" i="4"/>
  <c r="AT26" i="4" s="1"/>
  <c r="H26" i="4"/>
  <c r="AQ26" i="4" s="1"/>
  <c r="I26" i="4"/>
  <c r="J26" i="4"/>
  <c r="AP26" i="4" s="1"/>
  <c r="K26" i="4"/>
  <c r="AU26" i="4" s="1"/>
  <c r="L26" i="4"/>
  <c r="AR26" i="4" s="1"/>
  <c r="M26" i="4"/>
  <c r="AN26" i="4" s="1"/>
  <c r="N26" i="4"/>
  <c r="O26" i="4"/>
  <c r="C27" i="4"/>
  <c r="D27" i="4"/>
  <c r="F27" i="4"/>
  <c r="G27" i="4"/>
  <c r="AT27" i="4" s="1"/>
  <c r="H27" i="4"/>
  <c r="AQ27" i="4" s="1"/>
  <c r="I27" i="4"/>
  <c r="J27" i="4"/>
  <c r="AP27" i="4" s="1"/>
  <c r="K27" i="4"/>
  <c r="AU27" i="4" s="1"/>
  <c r="L27" i="4"/>
  <c r="AR27" i="4" s="1"/>
  <c r="M27" i="4"/>
  <c r="AN27" i="4" s="1"/>
  <c r="N27" i="4"/>
  <c r="O27" i="4"/>
  <c r="C28" i="4"/>
  <c r="D28" i="4"/>
  <c r="F28" i="4"/>
  <c r="G28" i="4"/>
  <c r="AT28" i="4" s="1"/>
  <c r="H28" i="4"/>
  <c r="AQ28" i="4" s="1"/>
  <c r="I28" i="4"/>
  <c r="J28" i="4"/>
  <c r="AP28" i="4" s="1"/>
  <c r="K28" i="4"/>
  <c r="AU28" i="4" s="1"/>
  <c r="L28" i="4"/>
  <c r="AR28" i="4" s="1"/>
  <c r="M28" i="4"/>
  <c r="AN28" i="4" s="1"/>
  <c r="N28" i="4"/>
  <c r="O28" i="4"/>
  <c r="C29" i="4"/>
  <c r="D29" i="4"/>
  <c r="F29" i="4"/>
  <c r="G29" i="4"/>
  <c r="AT29" i="4" s="1"/>
  <c r="H29" i="4"/>
  <c r="AQ29" i="4" s="1"/>
  <c r="I29" i="4"/>
  <c r="J29" i="4"/>
  <c r="AP29" i="4" s="1"/>
  <c r="K29" i="4"/>
  <c r="AU29" i="4" s="1"/>
  <c r="L29" i="4"/>
  <c r="AR29" i="4" s="1"/>
  <c r="M29" i="4"/>
  <c r="AN29" i="4" s="1"/>
  <c r="N29" i="4"/>
  <c r="O29" i="4"/>
  <c r="AO29" i="4" l="1"/>
  <c r="Z29" i="4"/>
  <c r="AO28" i="4"/>
  <c r="Z28" i="4"/>
  <c r="AO27" i="4"/>
  <c r="Z27" i="4"/>
  <c r="AO23" i="4"/>
  <c r="Z23" i="4"/>
  <c r="AO22" i="4"/>
  <c r="Z22" i="4"/>
  <c r="AO21" i="4"/>
  <c r="Z21" i="4"/>
  <c r="AO20" i="4"/>
  <c r="Z20" i="4"/>
  <c r="AO25" i="4"/>
  <c r="Z25" i="4"/>
  <c r="AO24" i="4"/>
  <c r="Z24" i="4"/>
  <c r="AO18" i="4"/>
  <c r="Z18" i="4"/>
  <c r="AO17" i="4"/>
  <c r="Z17" i="4"/>
  <c r="AO26" i="4"/>
  <c r="Z26" i="4"/>
  <c r="AO19" i="4"/>
  <c r="Z19" i="4"/>
  <c r="AO16" i="4"/>
  <c r="Z16" i="4"/>
  <c r="AO15" i="4"/>
  <c r="Z15" i="4"/>
  <c r="AO14" i="4"/>
  <c r="Z14" i="4"/>
  <c r="AO13" i="4"/>
  <c r="Z13" i="4"/>
  <c r="Z12" i="4"/>
  <c r="Z11" i="4"/>
  <c r="Z10" i="4"/>
  <c r="Z9" i="4"/>
  <c r="Z8" i="4"/>
  <c r="Z7" i="4"/>
  <c r="Z6" i="4"/>
  <c r="Z5" i="4"/>
  <c r="AO52" i="4"/>
  <c r="Z52" i="4"/>
  <c r="AO51" i="4"/>
  <c r="Z51" i="4"/>
  <c r="AO50" i="4"/>
  <c r="Z50" i="4"/>
  <c r="AO49" i="4"/>
  <c r="Z49" i="4"/>
  <c r="AO48" i="4"/>
  <c r="Z48" i="4"/>
  <c r="AO47" i="4"/>
  <c r="Z47" i="4"/>
  <c r="AO46" i="4"/>
  <c r="Z46" i="4"/>
  <c r="AO45" i="4"/>
  <c r="Z45" i="4"/>
  <c r="AO44" i="4"/>
  <c r="Z44" i="4"/>
  <c r="AO43" i="4"/>
  <c r="Z43" i="4"/>
  <c r="AO42" i="4"/>
  <c r="Z42" i="4"/>
  <c r="AO41" i="4"/>
  <c r="Z41" i="4"/>
  <c r="AO40" i="4"/>
  <c r="Z40" i="4"/>
  <c r="AO39" i="4"/>
  <c r="Z39" i="4"/>
  <c r="AO38" i="4"/>
  <c r="Z38" i="4"/>
  <c r="AO37" i="4"/>
  <c r="Z37" i="4"/>
  <c r="AO36" i="4"/>
  <c r="Z36" i="4"/>
  <c r="AO35" i="4"/>
  <c r="Z35" i="4"/>
  <c r="AO34" i="4"/>
  <c r="Z34" i="4"/>
  <c r="AO33" i="4"/>
  <c r="Z33" i="4"/>
  <c r="AO32" i="4"/>
  <c r="Z32" i="4"/>
  <c r="AO31" i="4"/>
  <c r="Z31" i="4"/>
  <c r="AO30" i="4"/>
  <c r="Z30" i="4"/>
  <c r="AO73" i="4"/>
  <c r="Z73" i="4"/>
  <c r="AO72" i="4"/>
  <c r="Z72" i="4"/>
  <c r="AO71" i="4"/>
  <c r="Z71" i="4"/>
  <c r="AO70" i="4"/>
  <c r="Z70" i="4"/>
  <c r="AO69" i="4"/>
  <c r="Z69" i="4"/>
  <c r="AO68" i="4"/>
  <c r="Z68" i="4"/>
  <c r="AO67" i="4"/>
  <c r="Z67" i="4"/>
  <c r="AO66" i="4"/>
  <c r="Z66" i="4"/>
  <c r="AO65" i="4"/>
  <c r="Z65" i="4"/>
  <c r="AO64" i="4"/>
  <c r="Z64" i="4"/>
  <c r="AO63" i="4"/>
  <c r="Z63" i="4"/>
  <c r="AO62" i="4"/>
  <c r="Z62" i="4"/>
  <c r="AO61" i="4"/>
  <c r="Z61" i="4"/>
  <c r="AO60" i="4"/>
  <c r="Z60" i="4"/>
  <c r="AO59" i="4"/>
  <c r="Z59" i="4"/>
  <c r="AO58" i="4"/>
  <c r="Z58" i="4"/>
  <c r="AO57" i="4"/>
  <c r="Z57" i="4"/>
  <c r="AO56" i="4"/>
  <c r="Z56" i="4"/>
  <c r="AO55" i="4"/>
  <c r="Z55" i="4"/>
  <c r="AO54" i="4"/>
  <c r="Z54" i="4"/>
  <c r="AO53" i="4"/>
  <c r="Z53" i="4"/>
  <c r="AO80" i="4"/>
  <c r="Z80" i="4"/>
  <c r="AO79" i="4"/>
  <c r="Z79" i="4"/>
  <c r="AO78" i="4"/>
  <c r="Z78" i="4"/>
  <c r="AO77" i="4"/>
  <c r="Z77" i="4"/>
  <c r="AO76" i="4"/>
  <c r="Z76" i="4"/>
  <c r="AO75" i="4"/>
  <c r="Z75" i="4"/>
  <c r="AO74" i="4"/>
  <c r="Z74" i="4"/>
  <c r="AN87" i="4"/>
  <c r="D4" i="4" l="1"/>
  <c r="C4" i="4"/>
  <c r="AN84" i="4" l="1"/>
  <c r="AN83" i="4" l="1"/>
  <c r="AN82" i="4"/>
  <c r="AN85" i="4"/>
  <c r="AN81" i="4"/>
  <c r="AN88" i="4" l="1"/>
  <c r="Q88" i="4" l="1"/>
  <c r="R88" i="4"/>
  <c r="S88" i="4"/>
  <c r="T88" i="4"/>
  <c r="U88" i="4"/>
  <c r="C88" i="4"/>
  <c r="F88" i="4"/>
  <c r="G88" i="4"/>
  <c r="AT88" i="4" s="1"/>
  <c r="H88" i="4"/>
  <c r="AQ88" i="4" s="1"/>
  <c r="I88" i="4"/>
  <c r="J88" i="4"/>
  <c r="AP88" i="4" s="1"/>
  <c r="K88" i="4"/>
  <c r="AU88" i="4" s="1"/>
  <c r="L88" i="4"/>
  <c r="AR88" i="4" s="1"/>
  <c r="M88" i="4"/>
  <c r="N88" i="4"/>
  <c r="O88" i="4"/>
  <c r="O4" i="4"/>
  <c r="N4" i="4"/>
  <c r="M4" i="4"/>
  <c r="L4" i="4"/>
  <c r="AR4" i="4" s="1"/>
  <c r="K4" i="4"/>
  <c r="AU4" i="4" s="1"/>
  <c r="J4" i="4"/>
  <c r="AP4" i="4" s="1"/>
  <c r="I4" i="4"/>
  <c r="H4" i="4"/>
  <c r="AQ4" i="4" s="1"/>
  <c r="G4" i="4"/>
  <c r="AT4" i="4" s="1"/>
  <c r="F4" i="4"/>
  <c r="AO4" i="4" s="1"/>
  <c r="AN4" i="4" l="1"/>
  <c r="AN86" i="4" s="1"/>
  <c r="AO88" i="4"/>
  <c r="Z88" i="4"/>
  <c r="Z4" i="4"/>
  <c r="F86" i="4"/>
  <c r="J86" i="4"/>
  <c r="AP86" i="4" s="1"/>
  <c r="N86" i="4"/>
  <c r="H86" i="4"/>
  <c r="AQ86" i="4" s="1"/>
  <c r="L86" i="4"/>
  <c r="AR86" i="4" s="1"/>
  <c r="L87" i="4"/>
  <c r="AR87" i="4" s="1"/>
  <c r="C87" i="4"/>
  <c r="U87" i="4"/>
  <c r="O87" i="4"/>
  <c r="G87" i="4"/>
  <c r="AT87" i="4" s="1"/>
  <c r="T87" i="4"/>
  <c r="N87" i="4"/>
  <c r="J87" i="4"/>
  <c r="AP87" i="4" s="1"/>
  <c r="F87" i="4"/>
  <c r="S87" i="4"/>
  <c r="H87" i="4"/>
  <c r="AQ87" i="4" s="1"/>
  <c r="Q87" i="4"/>
  <c r="I86" i="4"/>
  <c r="M86" i="4"/>
  <c r="K87" i="4"/>
  <c r="AU87" i="4" s="1"/>
  <c r="G86" i="4"/>
  <c r="AT86" i="4" s="1"/>
  <c r="K86" i="4"/>
  <c r="AU86" i="4" s="1"/>
  <c r="O86" i="4"/>
  <c r="M87" i="4"/>
  <c r="I87" i="4"/>
  <c r="R87" i="4"/>
  <c r="AO87" i="4" l="1"/>
  <c r="Z87" i="4"/>
  <c r="AO86" i="4"/>
  <c r="U86" i="4"/>
  <c r="T86" i="4"/>
  <c r="S86" i="4"/>
  <c r="R86" i="4"/>
  <c r="Q86" i="4"/>
  <c r="C86" i="4"/>
  <c r="Z86" i="4" l="1"/>
  <c r="D56" i="3"/>
  <c r="P4" i="4" l="1"/>
  <c r="Y4" i="4" s="1"/>
  <c r="P10" i="4"/>
  <c r="Y10" i="4" s="1"/>
  <c r="P5" i="4"/>
  <c r="Y5" i="4" s="1"/>
  <c r="P6" i="4"/>
  <c r="Y6" i="4" s="1"/>
  <c r="P7" i="4"/>
  <c r="Y7" i="4" s="1"/>
  <c r="P12" i="4"/>
  <c r="Y12" i="4" s="1"/>
  <c r="P8" i="4"/>
  <c r="Y8" i="4" s="1"/>
  <c r="P18" i="4"/>
  <c r="Y18" i="4" s="1"/>
  <c r="P13" i="4"/>
  <c r="Y13" i="4" s="1"/>
  <c r="P11" i="4"/>
  <c r="Y11" i="4" s="1"/>
  <c r="P15" i="4"/>
  <c r="Y15" i="4" s="1"/>
  <c r="P14" i="4"/>
  <c r="Y14" i="4" s="1"/>
  <c r="P20" i="4"/>
  <c r="Y20" i="4" s="1"/>
  <c r="P21" i="4"/>
  <c r="Y21" i="4" s="1"/>
  <c r="P16" i="4"/>
  <c r="Y16" i="4" s="1"/>
  <c r="P17" i="4"/>
  <c r="Y17" i="4" s="1"/>
  <c r="P19" i="4"/>
  <c r="Y19" i="4" s="1"/>
  <c r="P22" i="4"/>
  <c r="Y22" i="4" s="1"/>
  <c r="P68" i="4"/>
  <c r="Y68" i="4" s="1"/>
  <c r="P24" i="4"/>
  <c r="Y24" i="4" s="1"/>
  <c r="P25" i="4"/>
  <c r="Y25" i="4" s="1"/>
  <c r="P27" i="4"/>
  <c r="Y27" i="4" s="1"/>
  <c r="P23" i="4"/>
  <c r="Y23" i="4" s="1"/>
  <c r="P77" i="4"/>
  <c r="Y77" i="4" s="1"/>
  <c r="P28" i="4"/>
  <c r="Y28" i="4" s="1"/>
  <c r="P30" i="4"/>
  <c r="Y30" i="4" s="1"/>
  <c r="P31" i="4"/>
  <c r="Y31" i="4" s="1"/>
  <c r="P73" i="4"/>
  <c r="Y73" i="4" s="1"/>
  <c r="P34" i="4"/>
  <c r="Y34" i="4" s="1"/>
  <c r="P69" i="4"/>
  <c r="Y69" i="4" s="1"/>
  <c r="P37" i="4"/>
  <c r="Y37" i="4" s="1"/>
  <c r="P41" i="4"/>
  <c r="Y41" i="4" s="1"/>
  <c r="P38" i="4"/>
  <c r="Y38" i="4" s="1"/>
  <c r="P48" i="4"/>
  <c r="Y48" i="4" s="1"/>
  <c r="P39" i="4"/>
  <c r="Y39" i="4" s="1"/>
  <c r="P40" i="4"/>
  <c r="Y40" i="4" s="1"/>
  <c r="P42" i="4"/>
  <c r="Y42" i="4" s="1"/>
  <c r="P43" i="4"/>
  <c r="Y43" i="4" s="1"/>
  <c r="P44" i="4"/>
  <c r="Y44" i="4" s="1"/>
  <c r="P45" i="4"/>
  <c r="Y45" i="4" s="1"/>
  <c r="P46" i="4"/>
  <c r="Y46" i="4" s="1"/>
  <c r="P26" i="4"/>
  <c r="Y26" i="4" s="1"/>
  <c r="P62" i="4"/>
  <c r="Y62" i="4" s="1"/>
  <c r="P54" i="4"/>
  <c r="Y54" i="4" s="1"/>
  <c r="P70" i="4"/>
  <c r="Y70" i="4" s="1"/>
  <c r="P49" i="4"/>
  <c r="Y49" i="4" s="1"/>
  <c r="P32" i="4"/>
  <c r="Y32" i="4" s="1"/>
  <c r="P50" i="4"/>
  <c r="Y50" i="4" s="1"/>
  <c r="P51" i="4"/>
  <c r="Y51" i="4" s="1"/>
  <c r="P53" i="4"/>
  <c r="Y53" i="4" s="1"/>
  <c r="P33" i="4"/>
  <c r="Y33" i="4" s="1"/>
  <c r="P52" i="4"/>
  <c r="Y52" i="4" s="1"/>
  <c r="P55" i="4"/>
  <c r="Y55" i="4" s="1"/>
  <c r="P67" i="4"/>
  <c r="Y67" i="4" s="1"/>
  <c r="P56" i="4"/>
  <c r="Y56" i="4" s="1"/>
  <c r="P29" i="4"/>
  <c r="Y29" i="4" s="1"/>
  <c r="P35" i="4"/>
  <c r="Y35" i="4" s="1"/>
  <c r="P57" i="4"/>
  <c r="Y57" i="4" s="1"/>
  <c r="P36" i="4"/>
  <c r="Y36" i="4" s="1"/>
  <c r="P58" i="4"/>
  <c r="Y58" i="4" s="1"/>
  <c r="P59" i="4"/>
  <c r="Y59" i="4" s="1"/>
  <c r="P60" i="4"/>
  <c r="Y60" i="4" s="1"/>
  <c r="P61" i="4"/>
  <c r="Y61" i="4" s="1"/>
  <c r="P63" i="4"/>
  <c r="Y63" i="4" s="1"/>
  <c r="P64" i="4"/>
  <c r="Y64" i="4" s="1"/>
  <c r="P65" i="4"/>
  <c r="Y65" i="4" s="1"/>
  <c r="P47" i="4"/>
  <c r="Y47" i="4" s="1"/>
  <c r="P66" i="4"/>
  <c r="Y66" i="4" s="1"/>
  <c r="P71" i="4"/>
  <c r="Y71" i="4" s="1"/>
  <c r="P72" i="4"/>
  <c r="Y72" i="4" s="1"/>
  <c r="P74" i="4"/>
  <c r="Y74" i="4" s="1"/>
  <c r="P75" i="4"/>
  <c r="Y75" i="4" s="1"/>
  <c r="P76" i="4"/>
  <c r="Y76" i="4" s="1"/>
  <c r="P78" i="4"/>
  <c r="Y78" i="4" s="1"/>
  <c r="P79" i="4"/>
  <c r="Y79" i="4" s="1"/>
  <c r="P80" i="4"/>
  <c r="Y80" i="4" s="1"/>
  <c r="P88" i="4" l="1"/>
  <c r="Y88" i="4" s="1"/>
  <c r="P87" i="4"/>
  <c r="Y87" i="4" s="1"/>
  <c r="P9" i="4"/>
  <c r="Y9" i="4" s="1"/>
  <c r="A1" i="3"/>
  <c r="A1" i="2"/>
  <c r="A1" i="1"/>
  <c r="P86" i="4" l="1"/>
  <c r="Y86" i="4" s="1"/>
  <c r="C52" i="1"/>
  <c r="C40" i="1"/>
  <c r="C42" i="1"/>
  <c r="C45" i="1"/>
  <c r="C51" i="1"/>
  <c r="C11" i="2"/>
  <c r="C8" i="2"/>
  <c r="C33" i="1"/>
  <c r="C55" i="1"/>
  <c r="C35" i="1"/>
  <c r="C10" i="2"/>
  <c r="C39" i="1"/>
  <c r="C43" i="1"/>
  <c r="C47" i="1"/>
  <c r="C37" i="1"/>
  <c r="C49" i="1"/>
  <c r="C60" i="1"/>
  <c r="C12" i="2"/>
  <c r="C61" i="1"/>
  <c r="C16" i="2"/>
  <c r="C13" i="2"/>
  <c r="B9" i="5"/>
  <c r="E45" i="1" s="1"/>
  <c r="E34" i="1" l="1"/>
  <c r="G68" i="3" s="1"/>
  <c r="D67" i="3"/>
  <c r="F34" i="1"/>
  <c r="G67" i="3" s="1"/>
  <c r="F16" i="1"/>
  <c r="G65" i="3" s="1"/>
  <c r="E14" i="1"/>
  <c r="F54" i="1"/>
  <c r="F53" i="1"/>
  <c r="D43" i="3"/>
  <c r="F49" i="1"/>
  <c r="F44" i="1"/>
  <c r="F48" i="1"/>
  <c r="F47" i="1"/>
  <c r="E40" i="1"/>
  <c r="E37" i="1"/>
  <c r="F19" i="1"/>
  <c r="E10" i="1"/>
  <c r="E42" i="1"/>
  <c r="E11" i="1"/>
  <c r="E41" i="1"/>
  <c r="E36" i="1"/>
  <c r="F18" i="1"/>
  <c r="E13" i="1"/>
  <c r="E38" i="1"/>
  <c r="E43" i="1"/>
  <c r="E39" i="1"/>
  <c r="E35" i="1"/>
  <c r="F17" i="1"/>
  <c r="E12" i="1"/>
  <c r="F20" i="1"/>
  <c r="D38" i="3"/>
  <c r="D40" i="3"/>
  <c r="D41" i="3"/>
  <c r="D39" i="3"/>
  <c r="F52" i="1"/>
  <c r="F51" i="1"/>
  <c r="F50" i="1"/>
  <c r="D42" i="3"/>
  <c r="E9" i="2" l="1"/>
  <c r="G9" i="2"/>
  <c r="G12" i="3"/>
  <c r="G18" i="3"/>
  <c r="D18" i="3"/>
  <c r="E13" i="2"/>
  <c r="D12" i="3"/>
  <c r="G22" i="3"/>
  <c r="D14" i="3"/>
  <c r="D22" i="3"/>
  <c r="G14" i="3"/>
  <c r="D44" i="3"/>
  <c r="E15" i="2"/>
  <c r="E12" i="2"/>
  <c r="E16" i="2"/>
  <c r="E14" i="2"/>
  <c r="G12" i="2"/>
  <c r="E8" i="2"/>
  <c r="E11" i="2"/>
  <c r="E10" i="2"/>
  <c r="E56" i="1"/>
  <c r="F55" i="1"/>
  <c r="G10" i="2" s="1"/>
  <c r="G69" i="3" l="1"/>
  <c r="I9" i="2"/>
  <c r="J18" i="3"/>
  <c r="G16" i="2"/>
  <c r="G15" i="2"/>
  <c r="I15" i="2" s="1"/>
  <c r="G14" i="2"/>
  <c r="I14" i="2" s="1"/>
  <c r="G8" i="2"/>
  <c r="G11" i="2"/>
  <c r="J14" i="3"/>
  <c r="D26" i="3"/>
  <c r="F56" i="1"/>
  <c r="J12" i="3"/>
  <c r="G26" i="3"/>
  <c r="J22" i="3"/>
  <c r="J23" i="3" l="1"/>
  <c r="D69" i="3"/>
  <c r="I11" i="2" l="1"/>
  <c r="I12" i="2" l="1"/>
  <c r="I8" i="2"/>
  <c r="I16" i="2"/>
  <c r="E62" i="1"/>
  <c r="I10" i="2"/>
  <c r="F61" i="1"/>
  <c r="G13" i="2" s="1"/>
  <c r="F62" i="1" l="1"/>
  <c r="I13" i="2"/>
  <c r="E17" i="2"/>
  <c r="I17" i="2" l="1"/>
  <c r="G17" i="2"/>
</calcChain>
</file>

<file path=xl/sharedStrings.xml><?xml version="1.0" encoding="utf-8"?>
<sst xmlns="http://schemas.openxmlformats.org/spreadsheetml/2006/main" count="1505" uniqueCount="569">
  <si>
    <t>Debit</t>
  </si>
  <si>
    <t>Credit</t>
  </si>
  <si>
    <t>Entry</t>
  </si>
  <si>
    <t>Notes</t>
  </si>
  <si>
    <t>Totals</t>
  </si>
  <si>
    <t>of Resources</t>
  </si>
  <si>
    <t>Deferred Outflows</t>
  </si>
  <si>
    <t>Deferred Inflows</t>
  </si>
  <si>
    <t xml:space="preserve">Difference between actual and </t>
  </si>
  <si>
    <t>expected experience</t>
  </si>
  <si>
    <t>Net difference between projected and</t>
  </si>
  <si>
    <t xml:space="preserve">Contributions subsequent to the </t>
  </si>
  <si>
    <t>measurement date</t>
  </si>
  <si>
    <t>Total</t>
  </si>
  <si>
    <t>Sub</t>
  </si>
  <si>
    <t>Calculated</t>
  </si>
  <si>
    <t>(f)</t>
  </si>
  <si>
    <t>(b1)</t>
  </si>
  <si>
    <t>(b2)</t>
  </si>
  <si>
    <t>Change in proportion and differences</t>
  </si>
  <si>
    <t>between agency's contributions and</t>
  </si>
  <si>
    <t>proportionate share of contributions</t>
  </si>
  <si>
    <t>Rounding</t>
  </si>
  <si>
    <t>Description</t>
  </si>
  <si>
    <t>Difference between expected/actual experience</t>
  </si>
  <si>
    <t>Change in proportion; contributions during measurement period</t>
  </si>
  <si>
    <t>Difference between projected/actual investment earnings</t>
  </si>
  <si>
    <t>1)</t>
  </si>
  <si>
    <t>2)</t>
  </si>
  <si>
    <t>Year ended June 30:</t>
  </si>
  <si>
    <t>Net Deferred</t>
  </si>
  <si>
    <t>3)</t>
  </si>
  <si>
    <t>Deferred Outflow Amount</t>
  </si>
  <si>
    <t>Agency Num</t>
  </si>
  <si>
    <t>Agency Name</t>
  </si>
  <si>
    <t>Total Contributions</t>
  </si>
  <si>
    <t>N C SCHOOL OF SCIENCE &amp; MATHEMATICS</t>
  </si>
  <si>
    <t>APPALACHIAN STATE UNIVERSITY</t>
  </si>
  <si>
    <t>N C SCHOOL OF THE ARTS</t>
  </si>
  <si>
    <t>EAST CAROLINA UNIVERSITY</t>
  </si>
  <si>
    <t>ELIZABETH CITY STATE UNIVERSITY</t>
  </si>
  <si>
    <t>FAYETTEVILLE STATE UNIVERSITY</t>
  </si>
  <si>
    <t>NC A&amp;T UNIVERSITY</t>
  </si>
  <si>
    <t>N C CENTRAL UNIVERSITY</t>
  </si>
  <si>
    <t>UNIVERSITY OF NORTH CAROLINA AT GREENSBORO</t>
  </si>
  <si>
    <t>UNC - PEMBROKE</t>
  </si>
  <si>
    <t>N C STATE UNIVERSITY</t>
  </si>
  <si>
    <t>UNC-CH CB 1260</t>
  </si>
  <si>
    <t>UNC HEALTH CARE SYSTEM</t>
  </si>
  <si>
    <t>WESTERN CAROLINA UNIVERSITY</t>
  </si>
  <si>
    <t>WINSTON-SALEM STATE UNIVERSITY</t>
  </si>
  <si>
    <t>UNIVERSITY OF NORTH CAROLINA AT ASHEVILLE</t>
  </si>
  <si>
    <t>UNIVERSITY OF NORTH CAROLINA AT CHARLOTTE</t>
  </si>
  <si>
    <t>UNIVERSITY OF NORTH CAROLINA AT WILMINGTON</t>
  </si>
  <si>
    <t>ALAMANCE COMMUNITY COLLEGE</t>
  </si>
  <si>
    <t>SOUTH PIEDMONT COMMUNITY COLLEGE</t>
  </si>
  <si>
    <t>BEAUFORT COUNTY COMMUNITY COLLEGE</t>
  </si>
  <si>
    <t>BLADEN COMMUNITY COLLEGE</t>
  </si>
  <si>
    <t>BRUNSWICK COMMUNITY COLLEGE</t>
  </si>
  <si>
    <t>ASHEVILLE-BUNCOMBE TECHNICAL COLLEGE</t>
  </si>
  <si>
    <t>WESTERN PIEDMONT COMM COLLEGE</t>
  </si>
  <si>
    <t>CALDWELL COMMUNITY COLLEGE</t>
  </si>
  <si>
    <t>CARTERET COMMUNITY COLLEGE</t>
  </si>
  <si>
    <t>CATAWBA VALLEY COMMUNITY COLLEGE</t>
  </si>
  <si>
    <t>TRI-COUNTY COMMUNITY COLLEGE</t>
  </si>
  <si>
    <t>CLEVELAND TECHNICAL COLLEGE</t>
  </si>
  <si>
    <t>SOUTHEASTERN COMMUNITY COLLEGE</t>
  </si>
  <si>
    <t>CRAVEN COMMUNITY COLLEGE</t>
  </si>
  <si>
    <t>FAYETTEVILLE TECHNICAL COMMUNITY COLLEGE</t>
  </si>
  <si>
    <t>DAVIDSON COUNTY COMMUNITY COLLEGE</t>
  </si>
  <si>
    <t>JAMES SPRUNT TECHNICAL COLLEGE</t>
  </si>
  <si>
    <t>DURHAM TECHNICAL INSTITUTE</t>
  </si>
  <si>
    <t>EDGECOMBE TECHNICAL COLLEGE</t>
  </si>
  <si>
    <t>FORSYTH TECHNICAL INSTITUTE</t>
  </si>
  <si>
    <t>GASTON COLLEGE</t>
  </si>
  <si>
    <t>GUILFORD TECHNICAL COMMUNITY COLLEGE</t>
  </si>
  <si>
    <t>HALIFAX COMMUNITY COLLEGE</t>
  </si>
  <si>
    <t>HAYWOOD TECHNICAL COLLEGE</t>
  </si>
  <si>
    <t>BLUE RIDGE COMMUNITY COLLEGE</t>
  </si>
  <si>
    <t>ROANOKE-CHOWAN COMMUNITY COLLEGE</t>
  </si>
  <si>
    <t>MITCHELL COMMUNITY COLLEGE</t>
  </si>
  <si>
    <t>SOUTHWESTERN COMMUNITY COLLEGE</t>
  </si>
  <si>
    <t>JOHNSTON TECHNICAL COLLEGE</t>
  </si>
  <si>
    <t>CENTRAL CAROLINA COMMUNITY COLLEGE</t>
  </si>
  <si>
    <t>LENOIR COUNTY COMMUNITY COLLEGE</t>
  </si>
  <si>
    <t>MARTIN COMMUNITY COLLEGE</t>
  </si>
  <si>
    <t>MCDOWELL TECHNICAL COLLEGE</t>
  </si>
  <si>
    <t>CENTRAL PIEDMONT COMMUNITY COLLEGE</t>
  </si>
  <si>
    <t>MAYLAND TECHNICAL COLLEGE</t>
  </si>
  <si>
    <t>MONTGOMERY COMMUNITY COLLEGE</t>
  </si>
  <si>
    <t>SANDHILLS COMMUNITY COLLEGE</t>
  </si>
  <si>
    <t>NASH TECHNICAL COLLEGE</t>
  </si>
  <si>
    <t>CAPE FEAR COMMUNITY COLLEGE</t>
  </si>
  <si>
    <t>COASTAL CAROLINA COMMUNITY COLLEGE</t>
  </si>
  <si>
    <t>PAMLICO COMMUNITY COLLEGE</t>
  </si>
  <si>
    <t>COLLEGE OF THE ALBEMARLE</t>
  </si>
  <si>
    <t>PIEDMONT COMMUNITY COLLEGE</t>
  </si>
  <si>
    <t>PITT COMMUNITY COLLEGE</t>
  </si>
  <si>
    <t>RANDOLPH COMMUNITY COLLEGE</t>
  </si>
  <si>
    <t>RICHMOND TECHNICAL COLLEGE</t>
  </si>
  <si>
    <t>ROBESON COMMUNITY COLLEGE</t>
  </si>
  <si>
    <t>ROCKINGHAM COMMUNITY COLLEGE</t>
  </si>
  <si>
    <t>ROWAN-CABARRUS COMMUNITY COLLEGE</t>
  </si>
  <si>
    <t>ISOTHERMAL COMMUNITY COLLEGE</t>
  </si>
  <si>
    <t>SAMPSON COMMUNITY COLLEGE</t>
  </si>
  <si>
    <t>STANLY COMMUNITY COLLEGE</t>
  </si>
  <si>
    <t>SURRY COMMUNITY COLLEGE</t>
  </si>
  <si>
    <t>VANCE-GRANVILLE COMMUNITY COLLEGE</t>
  </si>
  <si>
    <t>WAKE TECHNICAL COLLEGE</t>
  </si>
  <si>
    <t>WAYNE COMMUNITY COLLEGE</t>
  </si>
  <si>
    <t>WILKES COMMUNITY COLLEGE</t>
  </si>
  <si>
    <t>WILSON COMMUNITY COLLEGE</t>
  </si>
  <si>
    <t>NC HOUSING FINANCE AGENCY</t>
  </si>
  <si>
    <t>Deferred Inflows Of Resources</t>
  </si>
  <si>
    <t>Pension Expense</t>
  </si>
  <si>
    <t>Changes In Proportion And Differences Between Employer Contributions And Proportional Share Of Contributions</t>
  </si>
  <si>
    <t>Differences Between Expected And Actual Experience</t>
  </si>
  <si>
    <t>Net Difference Between Projected And Actual Investment Earnings On Plan Investments</t>
  </si>
  <si>
    <t>Net Amortization Of Deferred Amounts From Changes In Proportion And Differences Between Employer Contributions And Proportional Share Of Contributions</t>
  </si>
  <si>
    <t>Amortization</t>
  </si>
  <si>
    <t>Amortization Rounding Adjustment</t>
  </si>
  <si>
    <t>4)</t>
  </si>
  <si>
    <t>Additions</t>
  </si>
  <si>
    <t>Restatement–net position</t>
  </si>
  <si>
    <t>Number</t>
  </si>
  <si>
    <t>Deferred Outflows Of Resources</t>
  </si>
  <si>
    <t>Changes Of Assumptions</t>
  </si>
  <si>
    <t>TOTAL Recognition of Deferred (Inflows)/Outflows</t>
  </si>
  <si>
    <t>Changes of assumptions</t>
  </si>
  <si>
    <t>d25 above</t>
  </si>
  <si>
    <t>Rounded, if necessary</t>
  </si>
  <si>
    <t>(b1) and (b2)</t>
  </si>
  <si>
    <t>Entity</t>
  </si>
  <si>
    <t>CURRENT FISCAL YEAR ENTRIES</t>
  </si>
  <si>
    <t>After Measurement Date (MANUAL ENTRY)</t>
  </si>
  <si>
    <t>investments (see note below)</t>
  </si>
  <si>
    <t>Choose Your Agency:</t>
  </si>
  <si>
    <t>Account Name</t>
  </si>
  <si>
    <t>Debit (Credit)</t>
  </si>
  <si>
    <t>13th Period</t>
  </si>
  <si>
    <r>
      <t>Deletions</t>
    </r>
    <r>
      <rPr>
        <i/>
        <sz val="10"/>
        <rFont val="Arial"/>
        <family val="2"/>
      </rPr>
      <t xml:space="preserve"> (see Note 1)</t>
    </r>
  </si>
  <si>
    <t xml:space="preserve">Recognized in </t>
  </si>
  <si>
    <t>Amount to be</t>
  </si>
  <si>
    <t>Employer Balances of Deferred Outflows of Resources and Deferred Inflows of</t>
  </si>
  <si>
    <t>Schedule of the Net Amount of the Employer's Balances of Deferred Outflows of</t>
  </si>
  <si>
    <t>Resources and Deferred Inflows of Resources That will be Recognized in</t>
  </si>
  <si>
    <t>Amount of the Employer's Balance of Deferred Outflows of Resources That will be</t>
  </si>
  <si>
    <t>Prior year adjustments</t>
  </si>
  <si>
    <r>
      <t xml:space="preserve">Due within one year </t>
    </r>
    <r>
      <rPr>
        <i/>
        <sz val="10"/>
        <rFont val="Arial"/>
        <family val="2"/>
      </rPr>
      <t>(see Note 2)</t>
    </r>
  </si>
  <si>
    <t>Entry, Net</t>
  </si>
  <si>
    <t>Calculated by OSC</t>
  </si>
  <si>
    <t>See entry #1 above</t>
  </si>
  <si>
    <t>Colleague</t>
  </si>
  <si>
    <t>Entity Type:</t>
  </si>
  <si>
    <t>TOTAL UNC SYSTEM</t>
  </si>
  <si>
    <t>TOTAL COMMUNITY COLLEGES</t>
  </si>
  <si>
    <t>TOTAL OTHER COMPONENT UNITS</t>
  </si>
  <si>
    <t>STATE EDUCATION ASSISTANCE AUTHORITY</t>
  </si>
  <si>
    <t>Component Units</t>
  </si>
  <si>
    <t>Employer Number</t>
  </si>
  <si>
    <t>Employer</t>
  </si>
  <si>
    <t>Employer Name</t>
  </si>
  <si>
    <t>OSA's Audit Report</t>
  </si>
  <si>
    <t>STATE HEALTH PLAN</t>
  </si>
  <si>
    <t>NC STATE PORTS AUTHORITY</t>
  </si>
  <si>
    <t>NC GLOBAL TRANSPARK AUTHORITY</t>
  </si>
  <si>
    <t>Present Value Of Future Salary Allocation</t>
  </si>
  <si>
    <t>Net Deferred Outflow</t>
  </si>
  <si>
    <t>Net Deferred Inflow</t>
  </si>
  <si>
    <t>BEGINNING BALANCES (FORMULAS)</t>
  </si>
  <si>
    <t>Reversal of beginning deferred outflow balance – per actuary</t>
  </si>
  <si>
    <t>Needed for account numbers (NCAS/Colleague). Hidden on Summary Tab (columns Q/R). In Lookup formula, column number on data tab plus 1.</t>
  </si>
  <si>
    <t>&lt;&lt; Click to see a list of agencies (sorted by agency type).</t>
  </si>
  <si>
    <t>(d1), (d2), and (d3)</t>
  </si>
  <si>
    <t>(a1) and (a2)</t>
  </si>
  <si>
    <t>(a1)</t>
  </si>
  <si>
    <t>(a2)</t>
  </si>
  <si>
    <t>(c)</t>
  </si>
  <si>
    <t>(d1)</t>
  </si>
  <si>
    <t>(d2)</t>
  </si>
  <si>
    <t>(d3)</t>
  </si>
  <si>
    <t>(e)</t>
  </si>
  <si>
    <t>Note: This template was developed by the NC Office of the State Controller. If you have</t>
  </si>
  <si>
    <t>Miscellaneous expense (see Note)</t>
  </si>
  <si>
    <t>Miscellaneous income (see Note)</t>
  </si>
  <si>
    <t>Not Needed</t>
  </si>
  <si>
    <t>Note:</t>
  </si>
  <si>
    <t>GASB 75 Template – DIPNC</t>
  </si>
  <si>
    <t>DIPNC Number:</t>
  </si>
  <si>
    <t>GASB 75 Journal Entries – DIPNC</t>
  </si>
  <si>
    <t>Deferred outflows for OPEB</t>
  </si>
  <si>
    <t>Deferred inflows for OPEB</t>
  </si>
  <si>
    <t>Change in OPEB Amounts (FORMULAS)</t>
  </si>
  <si>
    <t>OPEB expense</t>
  </si>
  <si>
    <t>for OPEB, OPEB expense, and reversal of deferred outflow in entry 1)</t>
  </si>
  <si>
    <t>DIPNC contributions</t>
  </si>
  <si>
    <t xml:space="preserve">(To record OPEB contributions after the measurement date) </t>
  </si>
  <si>
    <t xml:space="preserve">Calculated by multiplying the covered payroll for DIPNC (on an accrual basis) </t>
  </si>
  <si>
    <t>Differences between expected and actual experience with regard to economic and demographic factors in the measurement of the total OPEB liability should be included in collective OPEB expense, beginning in the current measurement period, using a systematic and rational method over a closed period equal to the average of the expected remaining service lives of all employees that are provided with OPEB through the OPEB plan (active employees and inactive employees) determined as of the beginning of the measurement period. The portion not included in collective OPEB expense should be included in collective deferred outflows of resources or deferred inflows of resources related to OPEB. (GASB 75, paragraph 86a)</t>
  </si>
  <si>
    <t>Experience gains represent actual experience that increases the total OPEB liability less than projected or decreases the total OPEB liability greater than projected. These amounts result in decreases in OPEB expense and increases in deferred inflows of resources. (Implementation Guide No. 2017-3, page 181)</t>
  </si>
  <si>
    <t>The difference between projected and actual earnings on OPEB plan investments should be included in collective OPEB expense using a systematic and rational method over a closed five-year period, beginning in the current measurement period. The amount not included in collective OPEB expense should be included in collective deferred outflows of resources or deferred inflows of resources related to OPEB. Collective deferred outflows of resources and deferred inflows of resources arising from differences between projected and actual OPEB plan investment earnings in different measurement periods should be aggregated and included as a net collective deferred outflow of resources related to OPEB or a net collective deferred inflow of resources related to OPEB. (GASB 75, paragraph 86b)</t>
  </si>
  <si>
    <t>Investment returns that are greater than projected decrease OPEB expense and increase deferred inflows of resources.</t>
  </si>
  <si>
    <t>Changes of assumptions about future economic or demographic factors or of other inputs should be included in collective OPEB expense, beginning in the current measurement period, using a systematic and rational method over a closed period equal to the average of the expected remaining service lives of all employees that are provided with OPEB through the OPEB plan (active employees and inactive employees) determined as of the beginning of the measurement period. The portion not included in collective OPEB expense should be included in collective deferred outflows of resources or deferred inflows of resources related to OPEB. (GASB 75, paragraph 86a)</t>
  </si>
  <si>
    <t>If there is a change in the employer’s proportion of the collective net OPEB liability since the prior measurement date, the net effect of that change on the employer’s proportionate shares of the collective net OPEB liability and collective deferred outflows of resources and deferred inflows of resources related to OPEB, determined as of the beginning of the measurement period, should be recognized in the employer’s OPEB expense, beginning in the current reporting period, using a systematic and rational method over a closed period. For this purpose, the length of the expense recognition period should be equal to the average of the expected remaining service lives of all employees that are provided with OPEB through the OPEB plan (active employees and inactive employees) determined as of the beginning of the measurement period. The amount not recognized in the employer’s OPEB expense should be reported as a deferred outflow of resources or deferred inflow of resources related to OPEB. (GASB 75, paragraph 64)</t>
  </si>
  <si>
    <t>If the employer's actual contributions exceed its proportionate share of total contributions, the difference increases OPEB expense and results in a deferred outflow of resources. (Implementation Guide No. 2017-3, page 192)</t>
  </si>
  <si>
    <t>Contributions to the OPEB plan from the employer subsequent to the measurement date of the collective net OPEB liability and before the end of the employer’s reporting period should be reported as a deferred outflow of resources related to OPEB. (GASB 75, paragraph 68)</t>
  </si>
  <si>
    <t>Components of collective OPEB expense include—service cost, interest on the total OPEB liability, effect of changes in benefit terms, projected investment income, employee contributions, expensed portions of deferred outflows/inflows of resources related to OPEB, plan administrative expense, and other changes in fiduciary net position. Contributions from employers or nonemployer contributing entities should not be included in OPEB expense. (GASB 75, paragraph 86)</t>
  </si>
  <si>
    <t>For contributions to the OPEB plan other than those to separately finance specific liabilities of an individual employer or nonemployer contributing entity to the OPEB plan, the difference during the measurement period between (a) the total amount of such contributions from the employer (and amounts associated with the employer from nonemployer contributing entities that are not in a special funding situation) and (b) the amount of the employer’s proportionate share of the total of such contributions from all employers and all nonemployer contributing entities should be recognized in the employer’s OPEB expense, beginning in the current reporting period, using a systematic and rational method over a closed period. For this purpose, the length of the expense recognition period should be equal to the average of the expected remaining service lives of all employees that are provided with OPEB through the OPEB plan (active employees and inactive employees) determined as of the beginning of the measurement period. The amount not recognized in the employer’s OPEB expense should be reported as a deferred outflow of resources or deferred inflow of resources related to OPEB. (GASB 75, paragraph 65)</t>
  </si>
  <si>
    <t>GASB 75 Disclosures – DIPNC</t>
  </si>
  <si>
    <t>Resources Related to OPEB by Classification:</t>
  </si>
  <si>
    <t>OPEB Expense</t>
  </si>
  <si>
    <t>actual earnings on OPEB plan</t>
  </si>
  <si>
    <r>
      <rPr>
        <i/>
        <u/>
        <sz val="10"/>
        <rFont val="Arial"/>
        <family val="2"/>
      </rPr>
      <t>Note</t>
    </r>
    <r>
      <rPr>
        <i/>
        <sz val="10"/>
        <rFont val="Arial"/>
        <family val="2"/>
      </rPr>
      <t>: Collective deferred outflows of resources and deferred inflows of resources arising from differences between projected and actual OPEB plan investment earnings in different measurement periods should be aggregated and included as a net collective deferred outflow of resources related to OPEB or a net collective deferred inflow of resources related to OPEB. (GASB 75, paragraph 86b and 96h(3))</t>
    </r>
  </si>
  <si>
    <t>Source: GASB 75, paragraph 96h(1) thru (5)</t>
  </si>
  <si>
    <t>OPEB Expense:</t>
  </si>
  <si>
    <t>Note: negative amounts indicate amortization of OPEB deferrals that will decrease</t>
  </si>
  <si>
    <t>OPEB expense.</t>
  </si>
  <si>
    <t>Source: GASB 75, paragraph 96i(1)</t>
  </si>
  <si>
    <t>Included as a Reduction of the Net OPEB Liability in the Fiscal Year Ended</t>
  </si>
  <si>
    <t>Source: GASB 75, paragraph 96i(2)</t>
  </si>
  <si>
    <t>Net OPEB</t>
  </si>
  <si>
    <t xml:space="preserve">Total Contributions </t>
  </si>
  <si>
    <t>Net OPEB asset</t>
  </si>
  <si>
    <t>Beginning net OPEB asset</t>
  </si>
  <si>
    <t>Net OPEB asset–noncurrent</t>
  </si>
  <si>
    <t>Change in the net OPEB asset</t>
  </si>
  <si>
    <t>Change in net OPEB asset recognized immediately</t>
  </si>
  <si>
    <t>(To record changes in the net OPEB asset, deferred outflows/inflows of resources</t>
  </si>
  <si>
    <t>Changes of Assumptions</t>
  </si>
  <si>
    <t>Net OPEB Asset</t>
  </si>
  <si>
    <t>Proportional Share Of OPEB Expense</t>
  </si>
  <si>
    <t>Total Employer OPEB Expense</t>
  </si>
  <si>
    <t>Asset</t>
  </si>
  <si>
    <r>
      <rPr>
        <i/>
        <u/>
        <sz val="10"/>
        <rFont val="Arial"/>
        <family val="2"/>
      </rPr>
      <t>Note 1</t>
    </r>
    <r>
      <rPr>
        <i/>
        <sz val="10"/>
        <rFont val="Arial"/>
        <family val="2"/>
      </rPr>
      <t>: Employers should disclose the net change amount (instead of both additions and deletions) and reference that more information on the net OPEB liability (asset) is available in the separate note on OPEB plans. Since the amount reported is the employer’s proportionate share of the collective net OPEB liability (asset), additions and deletions are not relevant for this disclosure. The collective net OPEB liability (asset) equals the total OPEB liability (asset) for the OPEB plan, net of the plan’s fiduciary net position.</t>
    </r>
  </si>
  <si>
    <r>
      <rPr>
        <i/>
        <u/>
        <sz val="10"/>
        <rFont val="Arial"/>
        <family val="2"/>
      </rPr>
      <t>Note 2</t>
    </r>
    <r>
      <rPr>
        <i/>
        <sz val="10"/>
        <rFont val="Arial"/>
        <family val="2"/>
      </rPr>
      <t>: If the employer reports a net OPEB liability (asset) under Statement 75, the amount of the net OPEB liability (asset) that is “due” within one year is the amount of benefit payments expected to be paid within one year, net of the OPEB plan’s fiduciary net position available to pay that amount. Therefore, there would be no amount that is “due” within one year unless the OPEB plan’s fiduciary net position is less than the amount of benefit payments expected to be paid within one year. (Comprehensive Implementation Guide, 7.22.6)</t>
    </r>
  </si>
  <si>
    <t xml:space="preserve">Changes in Long-term Liabilities (Asset) </t>
  </si>
  <si>
    <t>NOPEBL Rounding Adjustment</t>
  </si>
  <si>
    <t>**check asset/liability account depending on whether it's an asset or liability</t>
  </si>
  <si>
    <t>Thereafter</t>
  </si>
  <si>
    <t>Deferred outflow for OPEB</t>
  </si>
  <si>
    <t>Miscellaneous expense</t>
  </si>
  <si>
    <t>Miscellaneous income</t>
  </si>
  <si>
    <t>Adjustment for PY Contributions (FORMULAS)</t>
  </si>
  <si>
    <t>See Summary tab, Note 1</t>
  </si>
  <si>
    <t>UNC-SO ONLY</t>
  </si>
  <si>
    <t>Reporting 2026</t>
  </si>
  <si>
    <t>Reporting 2027</t>
  </si>
  <si>
    <t>NOTE:  when copying data from OSA audited schedule spreadsheets, there may be some value errors b/c the - that represent 0 are not coming in.  So rekey where the dashes are in the columns giving the errors.</t>
  </si>
  <si>
    <t>Reporting 2028</t>
  </si>
  <si>
    <t>NORTH CAROLINA EDUCATION LOTTERY</t>
  </si>
  <si>
    <t>DEPARTMENT OF JUSTICE</t>
  </si>
  <si>
    <t>OFFICE OF STATE AUDITOR</t>
  </si>
  <si>
    <t>DEPARTMENT OF NATURAL AND CULTURAL RESOURCES</t>
  </si>
  <si>
    <t>ADMINISTRATIVE OFFICE OF THE COURTS</t>
  </si>
  <si>
    <t>OFFICE OF ADMINISTRATIVE HEARINGS</t>
  </si>
  <si>
    <t>DEPARTMENT OF ADMINISTRATION</t>
  </si>
  <si>
    <t>OFFICE OF STATE BUDGET AND MANAGEMENT</t>
  </si>
  <si>
    <t>DEPARTMENT OF INFORMATION TECHNOLOGY</t>
  </si>
  <si>
    <t>OFFICE OF STATE CONTROLLER</t>
  </si>
  <si>
    <t>NC SCHOOL OF SCIENCE AND MATHEMATICS</t>
  </si>
  <si>
    <t>NC DEPARTMENT OF MILITARY AND VETERANS AFFAIRS</t>
  </si>
  <si>
    <t>DEPARTMENT OF ENVIRONMENTAL QUALITY</t>
  </si>
  <si>
    <t>HOUSING FINANCE AGENCY OF NORTH CAROLINA</t>
  </si>
  <si>
    <t>WILDLIFE RESOURCES COMMISSION</t>
  </si>
  <si>
    <t>STATE BOARD OF ELECTIONS</t>
  </si>
  <si>
    <t>OFFICE OF GOVERNOR</t>
  </si>
  <si>
    <t>OFFICE OF LIEUTENANT GOVERNOR</t>
  </si>
  <si>
    <t>GENERAL ASSEMBLY</t>
  </si>
  <si>
    <t>DEPARTMENT OF HEALTH AND HUMAN SERVICES</t>
  </si>
  <si>
    <t>DEPARTMENT OF COMMERCE</t>
  </si>
  <si>
    <t>DEPARTMENT OF INSURANCE</t>
  </si>
  <si>
    <t>DEPARTMENT OF LABOR</t>
  </si>
  <si>
    <t>DEPARTMENT OF REVENUE</t>
  </si>
  <si>
    <t>DEPARTMENT OF SECRETARY OF STATE</t>
  </si>
  <si>
    <t>DEPARTMENT OF STATE TREASURER (w/o State Health Plan)</t>
  </si>
  <si>
    <t>DEPARTMENT OF STATE TREASURER (State Health Plan Only)</t>
  </si>
  <si>
    <t>DEPARTMENT OF AGRICULTURE AND CONSUMER SERVICES</t>
  </si>
  <si>
    <t>STATE BOARD OF BARBER EXAMINERS</t>
  </si>
  <si>
    <t>NORTH CAROLINA BOARD OF OPTICIANS</t>
  </si>
  <si>
    <t>NC AUCTIONEERS LICENSING BOARD</t>
  </si>
  <si>
    <t>COMMUNITY COLLEGE SYSTEM OFFICE</t>
  </si>
  <si>
    <t>DEPARTMENT OF PUBLIC SAFETY</t>
  </si>
  <si>
    <t>NORTH CAROLINA SCHOOL OF THE ARTS</t>
  </si>
  <si>
    <t>NORTH CAROLINA A&amp;T UNIVERSITY</t>
  </si>
  <si>
    <t>NORTH CAROLINA CENTRAL UNIVERSITY</t>
  </si>
  <si>
    <t>UNIVERSITY OF NORTH CAROLINA AT PEMBROKE</t>
  </si>
  <si>
    <t>NC STATE UNIVERSITY</t>
  </si>
  <si>
    <t>UNC-CHAPEL HILL CB1260</t>
  </si>
  <si>
    <t>UNC-GENERAL ADMINISTRATION (w/o SEAA)</t>
  </si>
  <si>
    <t>UNC-GENERAL ADMINISTRATION (SEAA Only)</t>
  </si>
  <si>
    <t>UNIVERSITY OF NORTH CAROLINA PRESS</t>
  </si>
  <si>
    <t>DEPARTMENT OF PUBLIC INSTRUCTION</t>
  </si>
  <si>
    <t>YANCEY COUNTY SCHOOLS</t>
  </si>
  <si>
    <t>ALAMANCE COUNTY SCHOOLS</t>
  </si>
  <si>
    <t>CLOVER GARDEN CHARTER SCHOOL</t>
  </si>
  <si>
    <t>RIVER MILL ACADEMY CHARTER</t>
  </si>
  <si>
    <t>THE HAWBRIDGE SCHOOL</t>
  </si>
  <si>
    <t>ALEXANDER COUNTY SCHOOLS</t>
  </si>
  <si>
    <t>ALLEGHANY COUNTY SCHOOLS</t>
  </si>
  <si>
    <t>ANSON COUNTY SCHOOLS</t>
  </si>
  <si>
    <t>ASHE COUNTY SCHOOLS</t>
  </si>
  <si>
    <t>AVERY COUNTY SCHOOLS</t>
  </si>
  <si>
    <t>GRANDFATHER ACADEMY</t>
  </si>
  <si>
    <t>BEAUFORT COUNTY SCHOOLS</t>
  </si>
  <si>
    <t>BERTIE COUNTY SCHOOLS</t>
  </si>
  <si>
    <t>BLADEN COUNTY SCHOOLS</t>
  </si>
  <si>
    <t>BRUNSWICK COUNTY SCHOOLS</t>
  </si>
  <si>
    <t>BUNCOMBE COUNTY SCHOOLS</t>
  </si>
  <si>
    <t>FRANCINE DELANY NEW SCHOOL FOR CHILDREN</t>
  </si>
  <si>
    <t>EVERGREEN COMMUNITY CHARTER SCHOOL</t>
  </si>
  <si>
    <t>ASHEVILLE CITY SCHOOLS</t>
  </si>
  <si>
    <t>BURKE COUNTY SCHOOLS</t>
  </si>
  <si>
    <t>WESTERN PIEDMONT COMMUNITY COLLEGE</t>
  </si>
  <si>
    <t>CABARRUS COUNTY SCHOOLS</t>
  </si>
  <si>
    <t>CAROLINA INTERNATIONAL SCHOOL</t>
  </si>
  <si>
    <t>KANNAPOLIS CITY SCHOOLS</t>
  </si>
  <si>
    <t>CALDWELL COUNTY SCHOOLS</t>
  </si>
  <si>
    <t>CAMDEN COUNTY SCHOOLS</t>
  </si>
  <si>
    <t>CARTERET COUNTY SCHOOLS</t>
  </si>
  <si>
    <t>CASWELL COUNTY SCHOOLS</t>
  </si>
  <si>
    <t>CATAWBA COUNTY SCHOOLS</t>
  </si>
  <si>
    <t>HICKORY CITY SCHOOLS</t>
  </si>
  <si>
    <t>NEWTON-CONOVER CITY SCHOOLS</t>
  </si>
  <si>
    <t>CHATHAM COUNTY SCHOOLS</t>
  </si>
  <si>
    <t>CHEROKEE COUNTY SCHOOLS</t>
  </si>
  <si>
    <t>EDENTON-CHOWAN COUNTY SCHOOLS</t>
  </si>
  <si>
    <t>CLAY COUNTY SCHOOLS</t>
  </si>
  <si>
    <t>CLEVELAND COUNTY SCHOOLS</t>
  </si>
  <si>
    <t>CLEVELAND COMMUNITY COLLEGE</t>
  </si>
  <si>
    <t>COLUMBUS COUNTY SCHOOLS</t>
  </si>
  <si>
    <t>WHITEVILLE CITY SCHOOLS</t>
  </si>
  <si>
    <t>NEW BERN CRAVEN COUNTY BOARD OF EDUCATION</t>
  </si>
  <si>
    <t>CUMBERLAND COUNTY SCHOOLS</t>
  </si>
  <si>
    <t>CURRITUCK COUNTY SCHOOLS</t>
  </si>
  <si>
    <t>DARE COUNTY SCHOOLS</t>
  </si>
  <si>
    <t>DAVIDSON COUNTY SCHOOLS</t>
  </si>
  <si>
    <t>INVEST COLLEGIATE CHARTER (DAVIDSON)</t>
  </si>
  <si>
    <t>DISCOVERY CHARTER</t>
  </si>
  <si>
    <t>LEXINGTON CITY SCHOOLS</t>
  </si>
  <si>
    <t>ALAMANCE COMMUNITY SCHOOL</t>
  </si>
  <si>
    <t>THOMASVILLE CITY SCHOOLS</t>
  </si>
  <si>
    <t>DAVIE COUNTY SCHOOLS</t>
  </si>
  <si>
    <t>NORTHEAST REGIONAL SCHOOL FOR BIOTECHNOLOGY</t>
  </si>
  <si>
    <t>CORNERSTONE ACADEMY</t>
  </si>
  <si>
    <t>DUPLIN COUNTY SCHOOLS</t>
  </si>
  <si>
    <t>DURHAM PUBLIC SCHOOLS</t>
  </si>
  <si>
    <t>CENTRAL PARK SCHOOL FOR CHILDREN</t>
  </si>
  <si>
    <t>HEALTHY START ACADEMY</t>
  </si>
  <si>
    <t>VOYAGER ACADEMY</t>
  </si>
  <si>
    <t>BEAR GRASS CHARTER SCHOOL</t>
  </si>
  <si>
    <t>INVEST COLLEGIATE CHARTER (BUNCOMBE)</t>
  </si>
  <si>
    <t>PIONEER SPRINGS COMMUNITY CHARTER</t>
  </si>
  <si>
    <t>EDGECOMBE COUNTY SCHOOLS</t>
  </si>
  <si>
    <t>WINSTON-SALEM-FORSYTH COUNTY SCHOOLS</t>
  </si>
  <si>
    <t>ARTS BASED ELEMENTARY CHARTER</t>
  </si>
  <si>
    <t>FRANKLIN COUNTY SCHOOLS</t>
  </si>
  <si>
    <t>A CHILDS GARDEN CHARTER (AKA CROSS CREEK CHARTER)</t>
  </si>
  <si>
    <t>GASTON COUNTY SCHOOLS</t>
  </si>
  <si>
    <t>GATES COUNTY SCHOOLS</t>
  </si>
  <si>
    <t>GRAHAM COUNTY SCHOOLS</t>
  </si>
  <si>
    <t>GRANVILLE COUNTY SCHOOLS AND OXFORD ORPHANAGE</t>
  </si>
  <si>
    <t>GREENE COUNTY SCHOOLS</t>
  </si>
  <si>
    <t>GUILFORD COUNTY SCHOOLS</t>
  </si>
  <si>
    <t>HALIFAX COUNTY SCHOOLS</t>
  </si>
  <si>
    <t>ROANOKE RAPIDS CITY SCHOOLS</t>
  </si>
  <si>
    <t>WELDON CITY SCHOOLS</t>
  </si>
  <si>
    <t>HARNETT COUNTY SCHOOLS</t>
  </si>
  <si>
    <t>HAYWOOD COUNTY SCHOOLS</t>
  </si>
  <si>
    <t>HENDERSON COUNTY SCHOOLS</t>
  </si>
  <si>
    <t>MOUNTAIN COMMUNITY SCHOOL</t>
  </si>
  <si>
    <t>HERTFORD COUNTY SCHOOLS</t>
  </si>
  <si>
    <t>HOKE COUNTY SCHOOLS</t>
  </si>
  <si>
    <t>HYDE COUNTY SCHOOLS</t>
  </si>
  <si>
    <t>IREDELL-STATESVILLE SCHOOLS</t>
  </si>
  <si>
    <t>AMERICAN RENAISSANCE MIDDLE SCHOOL</t>
  </si>
  <si>
    <t>SUCCESS INSTITUTE</t>
  </si>
  <si>
    <t>MOORESVILLE CITY SCHOOLS</t>
  </si>
  <si>
    <t>JACKSON COUNTY SCHOOLS</t>
  </si>
  <si>
    <t>JOHNSTON COUNTY SCHOOLS</t>
  </si>
  <si>
    <t>NEUSE CHARTER SCHOOL</t>
  </si>
  <si>
    <t>JONES COUNTY SCHOOLS</t>
  </si>
  <si>
    <t>SANFORD-LEE COUNTY BOARD OF EDUCATION</t>
  </si>
  <si>
    <t>LENOIR COUNTY SCHOOLS</t>
  </si>
  <si>
    <t>CHILDRENS VILLAGE ACADEMY</t>
  </si>
  <si>
    <t>LINCOLN COUNTY SCHOOLS</t>
  </si>
  <si>
    <t>MACON COUNTY SCHOOLS</t>
  </si>
  <si>
    <t>MADISON COUNTY SCHOOLS</t>
  </si>
  <si>
    <t>MARTIN COUNTY SCHOOLS</t>
  </si>
  <si>
    <t>MCDOWELL COUNTY SCHOOLS</t>
  </si>
  <si>
    <t>CHARLOTTE-MECKLENBURG COUNTY SCHOOLS</t>
  </si>
  <si>
    <t>COMMUNITY CHARTER SCHOOL</t>
  </si>
  <si>
    <t>COMMUNITY SCHOOL OF DAVIDSON</t>
  </si>
  <si>
    <t>CORVIAN COMMUNITY CHARTER SCHOOL</t>
  </si>
  <si>
    <t>LAKE NORMAN CHARTER SCHOOL</t>
  </si>
  <si>
    <t>SOCRATES ACADEMY</t>
  </si>
  <si>
    <t>PINE LAKE PREP CHARTER</t>
  </si>
  <si>
    <t>CHARLOTTE SECONDARY CHARTER</t>
  </si>
  <si>
    <t>MITCHELL COUNTY SCHOOLS</t>
  </si>
  <si>
    <t>KIPP CHARLOTTE CHARTER</t>
  </si>
  <si>
    <t>MONTGOMERY COUNTY SCHOOLS</t>
  </si>
  <si>
    <t>MOORE COUNTY SCHOOLS</t>
  </si>
  <si>
    <t>ACADEMY OF MOORE COUNTY</t>
  </si>
  <si>
    <t>STARS CHARTER SCHOOL</t>
  </si>
  <si>
    <t>THE NORTH CAROLINA LEADERSHIP ACADEMY</t>
  </si>
  <si>
    <t>FERNLEAF COMMUNITY CHARTER</t>
  </si>
  <si>
    <t>NASH-ROCKY MOUNT SCHOOLS</t>
  </si>
  <si>
    <t>NASH COMMUNITY COLLEGE</t>
  </si>
  <si>
    <t>NEW HANOVER COUNTY SCHOOLS</t>
  </si>
  <si>
    <t>CAPE FEAR CENTER FOR INQUIRY</t>
  </si>
  <si>
    <t>WILMINGTON PREP ACADEMY</t>
  </si>
  <si>
    <t>NORTHAMPTON COUNTY SCHOOLS</t>
  </si>
  <si>
    <t>GASTON COLLEGE PREPARATORY CHARTER</t>
  </si>
  <si>
    <t>ONSLOW COUNTY SCHOOLS</t>
  </si>
  <si>
    <t>ZECA SCHOOL OF THE ARTS AND TECHNOLOGY</t>
  </si>
  <si>
    <t>ORANGE COUNTY SCHOOLS</t>
  </si>
  <si>
    <t>ORANGE CHARTER SCHOOL</t>
  </si>
  <si>
    <t>CHAPEL HILL - CARRBORO CITY SCHOOLS</t>
  </si>
  <si>
    <t>PAMLICO COUNTY SCHOOLS</t>
  </si>
  <si>
    <t>ARAPAHOE CHARTER SCHOOL</t>
  </si>
  <si>
    <t>ELIZABETH CITY AND PASQUOTANK COUNTY SCHOOLS</t>
  </si>
  <si>
    <t>N.E. ACADEMY OF AEROSPACE &amp; ADVANCED TECHNOLOGY</t>
  </si>
  <si>
    <t>PENDER COUNTY SCHOOLS</t>
  </si>
  <si>
    <t>PERQUIMANS COUNTY SCHOOLS</t>
  </si>
  <si>
    <t>PERSON COUNTY SCHOOLS</t>
  </si>
  <si>
    <t>ROXBORO COMMUNITY SCHOOL</t>
  </si>
  <si>
    <t>PITT COUNTY SCHOOLS</t>
  </si>
  <si>
    <t>POLK COUNTY SCHOOLS</t>
  </si>
  <si>
    <t>RANDOLPH COUNTY SCHOOLS</t>
  </si>
  <si>
    <t>UWHARRIE CHARTER ACADEMY</t>
  </si>
  <si>
    <t>ASHEBORO CITY SCHOOLS</t>
  </si>
  <si>
    <t>RICHMOND COUNTY SCHOOLS</t>
  </si>
  <si>
    <t>ROBESON COUNTY SCHOOLS</t>
  </si>
  <si>
    <t>SOUTHEASTERN ACADEMY CHARTER SCHOOL</t>
  </si>
  <si>
    <t>ROCKINGHAM COUNTY SCHOOLS</t>
  </si>
  <si>
    <t>BETHANY COMMUNITY MIDDLE SCHOOL</t>
  </si>
  <si>
    <t>ROWAN-SALISBURY SCHOOL SYSTEM</t>
  </si>
  <si>
    <t>RUTHERFORD COUNTY SCHOOLS</t>
  </si>
  <si>
    <t>SAMPSON COUNTY SCHOOLS</t>
  </si>
  <si>
    <t>CLINTON CITY SCHOOLS</t>
  </si>
  <si>
    <t>SCOTLAND COUNTY SCHOOLS</t>
  </si>
  <si>
    <t>STANLY COUNTY SCHOOLS</t>
  </si>
  <si>
    <t>GRAY STONE DAY SCHOOL</t>
  </si>
  <si>
    <t>STOKES COUNTY SCHOOLS</t>
  </si>
  <si>
    <t>SURRY COUNTY SCHOOLS</t>
  </si>
  <si>
    <t>BRIDGES CHARTER SCHOOLS</t>
  </si>
  <si>
    <t>MILLENNIUM CHARTER ACADEMY</t>
  </si>
  <si>
    <t>MOUNT AIRY CITY SCHOOLS</t>
  </si>
  <si>
    <t>ELKIN CITY SCHOOLS</t>
  </si>
  <si>
    <t>SWAIN COUNTY SCHOOLS</t>
  </si>
  <si>
    <t>MOUNTAIN DISCOVERY CHARTER</t>
  </si>
  <si>
    <t>TRANSYLVANIA COUNTY SCHOOLS</t>
  </si>
  <si>
    <t>BREVARD ACADEMY CHARTER SCHOOL</t>
  </si>
  <si>
    <t>TYRRELL COUNTY SCHOOLS</t>
  </si>
  <si>
    <t>UNION COUNTY SCHOOLS</t>
  </si>
  <si>
    <t>VANCE COUNTY SCHOOLS</t>
  </si>
  <si>
    <t>VANCE CHARTER SCHOOL</t>
  </si>
  <si>
    <t>WAKE COUNTY PUBLIC SCHOOLS SYSTEM</t>
  </si>
  <si>
    <t>ENDEAVOR CHARTER SCHOOL</t>
  </si>
  <si>
    <t>SOUTHERN WAKE ACADEMY</t>
  </si>
  <si>
    <t>EAST WAKE FIRST ACADEMY</t>
  </si>
  <si>
    <t>CASA ESPERANZA MONTESSORI</t>
  </si>
  <si>
    <t>NORTH CAROLINA INNOVATIVE SCHOOL DISTRICT</t>
  </si>
  <si>
    <t>WARREN COUNTY SCHOOLS</t>
  </si>
  <si>
    <t>HALIWA-SAPONI TRIBAL CHARTER</t>
  </si>
  <si>
    <t>WASHINGTON COUNTY SCHOOLS</t>
  </si>
  <si>
    <t>HENDERSON COLLEGIATE CHARTER SCHOOL</t>
  </si>
  <si>
    <t>WATAUGA COUNTY SCHOOLS</t>
  </si>
  <si>
    <t>TWO RIVERS COMMUNITY SCHOOL</t>
  </si>
  <si>
    <t>WAYNE COUNTY SCHOOLS</t>
  </si>
  <si>
    <t>WILKES COUNTY SCHOOLS</t>
  </si>
  <si>
    <t>PINNACLE CLASSICAL ACADEMY</t>
  </si>
  <si>
    <t>WILSON COUNTY SCHOOLS</t>
  </si>
  <si>
    <t>YADKIN COUNTY SCHOOLS</t>
  </si>
  <si>
    <t>HIGHWAY - ADMINISTRATIVE (w/o Global Transpark or Ports Authority)</t>
  </si>
  <si>
    <t>HIGHWAY - ADMINISTRATIVE (Global Transpark Only)</t>
  </si>
  <si>
    <t>HIGHWAY - ADMINISTRATIVE (Ports Authority Only)</t>
  </si>
  <si>
    <t>Net OPEB Liability</t>
  </si>
  <si>
    <t>STATE AUDITOR</t>
  </si>
  <si>
    <t>OFFICE OF ADMINISTRATIVE HEARING</t>
  </si>
  <si>
    <t>OFFICE OF STATE BUDGET &amp; MANAGEMENT</t>
  </si>
  <si>
    <t>INFORMATION TECHNOLOGY SERVICES</t>
  </si>
  <si>
    <t>NC DEPARTMENT OF MILITARY &amp; VETERANS AFFAIRS</t>
  </si>
  <si>
    <t>GOVERNOR'S OFFICE</t>
  </si>
  <si>
    <t>LT GOVERNOR'S OFFICE</t>
  </si>
  <si>
    <t>INSURANCE DEPARTMENT</t>
  </si>
  <si>
    <t>LABOR DEPARTMENT</t>
  </si>
  <si>
    <t>REVENUE DEPARTMENT</t>
  </si>
  <si>
    <t>SECRETARY OF STATE</t>
  </si>
  <si>
    <t>DEPT OF AGRICULTURE &amp; CONSUMER SVCS.</t>
  </si>
  <si>
    <t>BARBER EXAMINERS, STATE BOARD OF</t>
  </si>
  <si>
    <t>N C AUCTIONEERS LICENSING BOARD</t>
  </si>
  <si>
    <t>COMMUNITY COLLEGES ADMINISTRATION</t>
  </si>
  <si>
    <t>F DELANY NEW SCHOOL FOR CHILDREN</t>
  </si>
  <si>
    <t>N.E. REGIONAL SCHOOL FOR BIOTECHNOLOGY</t>
  </si>
  <si>
    <t>CENTRAL PARK SCH FOR CHILDREN</t>
  </si>
  <si>
    <t>AMERICAN RENAISSANCE MID SCHOOL</t>
  </si>
  <si>
    <t>CAPE FEAR CTR FOR INQUIRY</t>
  </si>
  <si>
    <t>N.E. ACADEMY OF AEROSPACE &amp; ADV.TECH</t>
  </si>
  <si>
    <t>MTN DISCOVERY CHARTER</t>
  </si>
  <si>
    <t>TWO RIVERS COMM SCHOOL</t>
  </si>
  <si>
    <t>ENVIRONMENT AND NATURAL RESOURCES</t>
  </si>
  <si>
    <t>HEALTH &amp; HUMAN SVCS</t>
  </si>
  <si>
    <t>STATE TREASURER (w/o State Health Plan)</t>
  </si>
  <si>
    <t>STATE TREASURER (State Health Plan Only)</t>
  </si>
  <si>
    <t>N C STATE BOARD OF EXAMINERS OF PRACTICING PSYCHOL</t>
  </si>
  <si>
    <t>LEE COUNTY SCHOOLS</t>
  </si>
  <si>
    <t>Net OPEB liability-noncurrent</t>
  </si>
  <si>
    <t>Change in the net OPEB liability</t>
  </si>
  <si>
    <t>Change in net OPEB liability</t>
  </si>
  <si>
    <t>Liability</t>
  </si>
  <si>
    <t>Net change</t>
  </si>
  <si>
    <t>Net change to OPEB asset</t>
  </si>
  <si>
    <t>Net change to OPEB liability</t>
  </si>
  <si>
    <t>Net OPEB liability</t>
  </si>
  <si>
    <t>Beginning net OPEB liability</t>
  </si>
  <si>
    <t xml:space="preserve">NOTE:  for FY2023, there is no beginning net OPEB liability b/c at 6/30/22 it was a net OPEB asset.  This formula </t>
  </si>
  <si>
    <t>will need to be corrected in FY2024</t>
  </si>
  <si>
    <t>6/30/2023 Net OPEB Liability</t>
  </si>
  <si>
    <t>6/30/2023 Deferred Outflows of Resources</t>
  </si>
  <si>
    <t>6/30/2023 Deferred Inflows of Resources</t>
  </si>
  <si>
    <t>Reporting 2029</t>
  </si>
  <si>
    <t>DEPARTMENT OF ADULT CORRECTIONS</t>
  </si>
  <si>
    <t>NC STATE BOARD OF EXAMINERS OF PRACTICING PSYCHOLOGISTS</t>
  </si>
  <si>
    <t>DEPARTMENT OF ADULT CORRECTION</t>
  </si>
  <si>
    <t>OPEB (Including DIPNC)– Financial Audit of Schedules</t>
  </si>
  <si>
    <t>NCFS</t>
  </si>
  <si>
    <t>Net change in OPEB liability</t>
  </si>
  <si>
    <t>Fiscal Year Ended June 30, 2025</t>
  </si>
  <si>
    <t>GoTo "Detail" Tab — Enter Employer Contributions (FY2024 &amp; FY2025).</t>
  </si>
  <si>
    <t>https://files.nc.gov/nc-auditor/documents/2025-04/FIN-2024-3400-OPEB.pdf</t>
  </si>
  <si>
    <t>any questions about this template, please contact Virginia Sisson</t>
  </si>
  <si>
    <t>virginia.sisson@ncosc.gov</t>
  </si>
  <si>
    <t>FY2024 employer contributions - per actuary</t>
  </si>
  <si>
    <t>FY2024 employer contributions - per agency/institution</t>
  </si>
  <si>
    <t>Last Year's MANUAL ENTRY - FY2024 Employer Contributions</t>
  </si>
  <si>
    <t>Difference in FY2024 contributions per employer/actuary</t>
  </si>
  <si>
    <t>(To adjust for difference in FY2024 contributions per employer/actuary)</t>
  </si>
  <si>
    <t>Deferred outflows for OPEB (FY2025 Employer Contributions)</t>
  </si>
  <si>
    <t>by 0.13% (the 2024-25 employer contribution rate for DIPNC)</t>
  </si>
  <si>
    <t>FY2025 employer contributions – per agency/institution</t>
  </si>
  <si>
    <r>
      <rPr>
        <b/>
        <sz val="10"/>
        <rFont val="Arial"/>
        <family val="2"/>
      </rPr>
      <t>(1)  Difference in Contributions Between Employer/Actuary</t>
    </r>
    <r>
      <rPr>
        <sz val="10"/>
        <rFont val="Arial"/>
        <family val="2"/>
      </rPr>
      <t xml:space="preserve"> – The difference between what your entity reported last year as your FY 2024 employer contributions (i.e., as a deferred outflow for OPEB) and the amount reported by the actuary (per this template) should be evaluated for materiality (see "Detail" tab, Entry 1). If this difference is material, the 13th period entry above should be modified. The template assumes the difference is immaterial and adjusts the beginning deferred outflow balance to the actuarial amount with an offset to current year miscellaneous expense (income). However, if the difference is material, the entry should be modified to reflect the offset as a restatement of beginning net position. </t>
    </r>
  </si>
  <si>
    <t>June 30, 2026:</t>
  </si>
  <si>
    <t>Balance July 1, 2024</t>
  </si>
  <si>
    <t>Balance, June 30, 2025</t>
  </si>
  <si>
    <t>6/30/2024 Deferred Outflows of Resources</t>
  </si>
  <si>
    <t>6/30/2024 Deferred Inflows of Resources</t>
  </si>
  <si>
    <t>2024 Allocation Percentage</t>
  </si>
  <si>
    <t>Reporting 2030</t>
  </si>
  <si>
    <t>STATE BUREAU OF INVESTIGATION</t>
  </si>
  <si>
    <t>ALAMANCE COMMUNITY SCHOOLS</t>
  </si>
  <si>
    <t>GRANVILLE COUNTY SCHOOLS</t>
  </si>
  <si>
    <t>ASPIRE TRADE HIGH SCHOOL</t>
  </si>
  <si>
    <t>WILMINGTON PREPARATORY ACADEMY</t>
  </si>
  <si>
    <t>ROUNDING</t>
  </si>
  <si>
    <t>dst</t>
  </si>
  <si>
    <t>shp</t>
  </si>
  <si>
    <t>total</t>
  </si>
  <si>
    <t>seaa</t>
  </si>
  <si>
    <t>global</t>
  </si>
  <si>
    <t>ports</t>
  </si>
  <si>
    <t>highway</t>
  </si>
  <si>
    <t>6/30/2024 Net OPEB asset</t>
  </si>
  <si>
    <t>Net OPEB liability at 6/30/24</t>
  </si>
  <si>
    <t>Net OPEB change Asset</t>
  </si>
  <si>
    <t>Fund Type</t>
  </si>
  <si>
    <t>rounding adjustment for SHP is offset with rounding adjustment for State Treasurer on the GASB 75 DIPNC agency template</t>
  </si>
  <si>
    <r>
      <t xml:space="preserve">Net OPEB </t>
    </r>
    <r>
      <rPr>
        <sz val="10"/>
        <color rgb="FFFF0000"/>
        <rFont val="Arial"/>
        <family val="2"/>
      </rPr>
      <t>Asset</t>
    </r>
    <r>
      <rPr>
        <sz val="10"/>
        <rFont val="Arial"/>
        <family val="2"/>
      </rPr>
      <t>-RHBF</t>
    </r>
  </si>
  <si>
    <t>Deferred inflows DIPNC</t>
  </si>
  <si>
    <t>Total def inflows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</si>
</sst>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0.00_);\(#,##0.00\);\—\—\—\ \ \ \ "/>
    <numFmt numFmtId="165" formatCode="\(0\)"/>
    <numFmt numFmtId="166" formatCode="#,##0_);\(#,##0\);\—\—\—\ \ \ \ "/>
    <numFmt numFmtId="167" formatCode="#,##0_);\(#,##0\);\—\ \ \ \ "/>
    <numFmt numFmtId="168" formatCode="_(&quot;$&quot;* #,##0_);_(&quot;$&quot;* \(#,##0\);_(&quot;$&quot;* &quot;—&quot;_);_(@_)"/>
    <numFmt numFmtId="169" formatCode="_(* #,##0_);_(* \(#,##0\);_(* &quot;—&quot;_);_(@_)"/>
    <numFmt numFmtId="170" formatCode="0.00000%"/>
    <numFmt numFmtId="171" formatCode="_(* #,##0_);_(* \(#,##0\);_(* &quot;-&quot;??_);_(@_)"/>
    <numFmt numFmtId="172" formatCode="_(* #,##0_);_(* \(#,##0\);_(* &quot;-&quot;????_);_(@_)"/>
    <numFmt numFmtId="173" formatCode="_(&quot;$&quot;* #,##0_);_(&quot;$&quot;* \(#,##0\);_(&quot;$&quot;* &quot;-&quot;??_);_(@_)"/>
  </numFmts>
  <fonts count="54"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b/>
      <u/>
      <sz val="9"/>
      <name val="Arial"/>
      <family val="2"/>
    </font>
    <font>
      <b/>
      <u/>
      <sz val="9"/>
      <name val="Arial Narrow"/>
      <family val="2"/>
    </font>
    <font>
      <sz val="9"/>
      <name val="Arial Narrow"/>
      <family val="2"/>
    </font>
    <font>
      <b/>
      <i/>
      <sz val="9"/>
      <name val="Arial Narrow"/>
      <family val="2"/>
    </font>
    <font>
      <b/>
      <sz val="9"/>
      <name val="Arial Narrow"/>
      <family val="2"/>
    </font>
    <font>
      <b/>
      <i/>
      <u/>
      <sz val="9"/>
      <name val="Arial Narrow"/>
      <family val="2"/>
    </font>
    <font>
      <sz val="9"/>
      <name val="@Batang"/>
      <family val="1"/>
    </font>
    <font>
      <sz val="8"/>
      <name val="Arial"/>
      <family val="2"/>
    </font>
    <font>
      <sz val="12"/>
      <name val="Times New Roman"/>
      <family val="1"/>
    </font>
    <font>
      <sz val="8.25"/>
      <name val="Helv"/>
    </font>
    <font>
      <b/>
      <sz val="10"/>
      <name val="Arial"/>
      <family val="2"/>
    </font>
    <font>
      <sz val="8"/>
      <name val="Arial Narrow"/>
      <family val="2"/>
    </font>
    <font>
      <sz val="10"/>
      <name val="Arial"/>
      <family val="2"/>
    </font>
    <font>
      <u/>
      <sz val="9"/>
      <name val="Arial Narrow"/>
      <family val="2"/>
    </font>
    <font>
      <b/>
      <i/>
      <sz val="9"/>
      <color theme="1"/>
      <name val="Arial Narrow"/>
      <family val="2"/>
    </font>
    <font>
      <sz val="9"/>
      <name val="Arial"/>
      <family val="2"/>
    </font>
    <font>
      <b/>
      <u/>
      <sz val="10"/>
      <name val="Arial"/>
      <family val="2"/>
    </font>
    <font>
      <u/>
      <sz val="10"/>
      <name val="Arial"/>
      <family val="2"/>
    </font>
    <font>
      <i/>
      <sz val="10"/>
      <name val="Arial"/>
      <family val="2"/>
    </font>
    <font>
      <sz val="10"/>
      <color rgb="FF0000FF"/>
      <name val="Arial"/>
      <family val="2"/>
    </font>
    <font>
      <sz val="10"/>
      <name val="Arial"/>
      <family val="2"/>
    </font>
    <font>
      <b/>
      <sz val="11"/>
      <color theme="1"/>
      <name val="Calibri"/>
      <family val="2"/>
      <scheme val="minor"/>
    </font>
    <font>
      <b/>
      <sz val="10"/>
      <color rgb="FF000000"/>
      <name val="Arial"/>
      <family val="2"/>
    </font>
    <font>
      <b/>
      <sz val="11"/>
      <color rgb="FF000000"/>
      <name val="Calibri"/>
      <family val="2"/>
      <scheme val="minor"/>
    </font>
    <font>
      <sz val="11"/>
      <color rgb="FF000000"/>
      <name val="Calibri"/>
      <family val="2"/>
      <scheme val="minor"/>
    </font>
    <font>
      <b/>
      <u/>
      <sz val="9"/>
      <color rgb="FFFF0000"/>
      <name val="Arial Narrow"/>
      <family val="2"/>
    </font>
    <font>
      <i/>
      <u/>
      <sz val="10"/>
      <name val="Arial"/>
      <family val="2"/>
    </font>
    <font>
      <sz val="10"/>
      <color indexed="10"/>
      <name val="Arial"/>
      <family val="2"/>
    </font>
    <font>
      <b/>
      <sz val="10"/>
      <color indexed="10"/>
      <name val="Arial"/>
      <family val="2"/>
    </font>
    <font>
      <b/>
      <sz val="14"/>
      <color rgb="FFFF0000"/>
      <name val="Arial"/>
      <family val="2"/>
    </font>
    <font>
      <b/>
      <sz val="12.5"/>
      <color rgb="FFFF0000"/>
      <name val="Arial"/>
      <family val="2"/>
    </font>
    <font>
      <u/>
      <sz val="10"/>
      <color theme="10"/>
      <name val="Arial"/>
      <family val="2"/>
    </font>
    <font>
      <i/>
      <sz val="9"/>
      <name val="Arial Narrow"/>
      <family val="2"/>
    </font>
    <font>
      <sz val="10"/>
      <color rgb="FFFF0000"/>
      <name val="Arial"/>
      <family val="2"/>
    </font>
    <font>
      <b/>
      <i/>
      <sz val="10"/>
      <name val="Arial"/>
      <family val="2"/>
    </font>
    <font>
      <b/>
      <sz val="9"/>
      <color rgb="FFFF0000"/>
      <name val="Arial Narrow"/>
      <family val="2"/>
    </font>
    <font>
      <b/>
      <sz val="10"/>
      <color rgb="FFFF0000"/>
      <name val="Arial"/>
      <family val="2"/>
    </font>
    <font>
      <sz val="9"/>
      <color indexed="10"/>
      <name val="Arial Narrow"/>
      <family val="2"/>
    </font>
    <font>
      <b/>
      <sz val="10"/>
      <color indexed="10"/>
      <name val="Arial Narrow"/>
      <family val="2"/>
    </font>
    <font>
      <sz val="11"/>
      <name val="Calibri"/>
      <family val="2"/>
      <scheme val="minor"/>
    </font>
    <font>
      <sz val="10"/>
      <color theme="1"/>
      <name val="Arial"/>
      <family val="2"/>
    </font>
    <font>
      <sz val="10"/>
      <color rgb="FF000000"/>
      <name val="Arial"/>
      <family val="2"/>
    </font>
    <font>
      <sz val="9"/>
      <color theme="1"/>
      <name val="Arial Narrow"/>
      <family val="2"/>
    </font>
    <font>
      <sz val="10"/>
      <name val="Arial"/>
      <family val="2"/>
    </font>
    <font>
      <b/>
      <sz val="11"/>
      <name val="Times New Roman"/>
      <family val="1"/>
    </font>
    <font>
      <sz val="11"/>
      <color rgb="FF000000"/>
      <name val="Arial"/>
      <family val="2"/>
    </font>
    <font>
      <sz val="11"/>
      <name val="Arial"/>
      <family val="2"/>
    </font>
    <font>
      <b/>
      <sz val="12"/>
      <name val="Times New Roman"/>
      <family val="1"/>
    </font>
    <font>
      <sz val="11"/>
      <color theme="1"/>
      <name val="Arial"/>
      <family val="2"/>
    </font>
    <font>
      <b/>
      <sz val="11"/>
      <color theme="1"/>
      <name val="Arial"/>
      <family val="2"/>
    </font>
  </fonts>
  <fills count="16">
    <fill>
      <patternFill patternType="none"/>
    </fill>
    <fill>
      <patternFill patternType="gray125"/>
    </fill>
    <fill>
      <patternFill patternType="solid">
        <fgColor theme="0" tint="-4.9989318521683403E-2"/>
        <bgColor indexed="64"/>
      </patternFill>
    </fill>
    <fill>
      <patternFill patternType="solid">
        <fgColor theme="0" tint="-0.249977111117893"/>
        <bgColor indexed="64"/>
      </patternFill>
    </fill>
    <fill>
      <patternFill patternType="solid">
        <fgColor theme="0"/>
        <bgColor indexed="64"/>
      </patternFill>
    </fill>
    <fill>
      <patternFill patternType="solid">
        <fgColor rgb="FFFFFF00"/>
        <bgColor indexed="64"/>
      </patternFill>
    </fill>
    <fill>
      <patternFill patternType="solid">
        <fgColor rgb="FFB7FFD8"/>
        <bgColor indexed="64"/>
      </patternFill>
    </fill>
    <fill>
      <patternFill patternType="solid">
        <fgColor theme="9" tint="0.39997558519241921"/>
        <bgColor indexed="64"/>
      </patternFill>
    </fill>
    <fill>
      <patternFill patternType="solid">
        <fgColor indexed="41"/>
        <bgColor indexed="64"/>
      </patternFill>
    </fill>
    <fill>
      <patternFill patternType="solid">
        <fgColor theme="4" tint="0.79998168889431442"/>
        <bgColor theme="4" tint="0.79998168889431442"/>
      </patternFill>
    </fill>
    <fill>
      <patternFill patternType="solid">
        <fgColor theme="6"/>
        <bgColor indexed="64"/>
      </patternFill>
    </fill>
    <fill>
      <patternFill patternType="solid">
        <fgColor theme="9" tint="0.79998168889431442"/>
        <bgColor indexed="64"/>
      </patternFill>
    </fill>
    <fill>
      <patternFill patternType="solid">
        <fgColor theme="9"/>
        <bgColor indexed="64"/>
      </patternFill>
    </fill>
    <fill>
      <patternFill patternType="solid">
        <fgColor rgb="FFFFFF00"/>
        <bgColor theme="4" tint="0.79998168889431442"/>
      </patternFill>
    </fill>
    <fill>
      <patternFill patternType="solid">
        <fgColor rgb="FF00B050"/>
        <bgColor indexed="64"/>
      </patternFill>
    </fill>
    <fill>
      <patternFill patternType="solid">
        <fgColor theme="0" tint="-0.14999847407452621"/>
        <bgColor indexed="64"/>
      </patternFill>
    </fill>
  </fills>
  <borders count="21">
    <border>
      <left/>
      <right/>
      <top/>
      <bottom/>
      <diagonal/>
    </border>
    <border>
      <left/>
      <right/>
      <top style="thin">
        <color indexed="64"/>
      </top>
      <bottom style="thin">
        <color indexed="64"/>
      </bottom>
      <diagonal/>
    </border>
    <border>
      <left/>
      <right/>
      <top style="thin">
        <color indexed="64"/>
      </top>
      <bottom style="double">
        <color indexed="64"/>
      </bottom>
      <diagonal/>
    </border>
    <border>
      <left/>
      <right/>
      <top/>
      <bottom style="thin">
        <color indexed="64"/>
      </bottom>
      <diagonal/>
    </border>
    <border>
      <left/>
      <right/>
      <top/>
      <bottom style="double">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rgb="FFFF0000"/>
      </left>
      <right style="thin">
        <color rgb="FFFF0000"/>
      </right>
      <top style="thin">
        <color rgb="FFFF0000"/>
      </top>
      <bottom style="thin">
        <color rgb="FFFF0000"/>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double">
        <color indexed="64"/>
      </top>
      <bottom/>
      <diagonal/>
    </border>
    <border>
      <left style="thin">
        <color theme="4" tint="0.39997558519241921"/>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
      <left/>
      <right/>
      <top style="double">
        <color indexed="64"/>
      </top>
      <bottom style="medium">
        <color indexed="64"/>
      </bottom>
      <diagonal/>
    </border>
    <border>
      <left/>
      <right/>
      <top style="thin">
        <color theme="4" tint="0.39997558519241921"/>
      </top>
      <bottom style="thin">
        <color theme="4" tint="0.39997558519241921"/>
      </bottom>
      <diagonal/>
    </border>
  </borders>
  <cellStyleXfs count="22">
    <xf numFmtId="0" fontId="0" fillId="0" borderId="0"/>
    <xf numFmtId="0" fontId="13" fillId="0" borderId="0"/>
    <xf numFmtId="43" fontId="24" fillId="0" borderId="0" applyFont="0" applyFill="0" applyBorder="0" applyAlignment="0" applyProtection="0"/>
    <xf numFmtId="9" fontId="24" fillId="0" borderId="0" applyFont="0" applyFill="0" applyBorder="0" applyAlignment="0" applyProtection="0"/>
    <xf numFmtId="0" fontId="35" fillId="0" borderId="0" applyNumberFormat="0" applyFill="0" applyBorder="0" applyAlignment="0" applyProtection="0"/>
    <xf numFmtId="43" fontId="3" fillId="0" borderId="0" applyFont="0" applyFill="0" applyBorder="0" applyAlignment="0" applyProtection="0"/>
    <xf numFmtId="39" fontId="16" fillId="0" borderId="0"/>
    <xf numFmtId="9" fontId="3" fillId="0" borderId="0" applyFont="0" applyFill="0" applyBorder="0" applyAlignment="0" applyProtection="0"/>
    <xf numFmtId="0" fontId="3" fillId="0" borderId="0"/>
    <xf numFmtId="9" fontId="44" fillId="0" borderId="0" applyFont="0" applyFill="0" applyBorder="0" applyAlignment="0" applyProtection="0"/>
    <xf numFmtId="43" fontId="44" fillId="0" borderId="0" applyFont="0" applyFill="0" applyBorder="0" applyAlignment="0" applyProtection="0"/>
    <xf numFmtId="39" fontId="16" fillId="0" borderId="0"/>
    <xf numFmtId="0" fontId="12" fillId="0" borderId="0" applyFill="0" applyBorder="0" applyAlignment="0" applyProtection="0">
      <alignment horizontal="left"/>
    </xf>
    <xf numFmtId="44" fontId="47" fillId="0" borderId="0" applyFont="0" applyFill="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9" fontId="2" fillId="0" borderId="0" applyFont="0" applyFill="0" applyBorder="0" applyAlignment="0" applyProtection="0"/>
    <xf numFmtId="43" fontId="44" fillId="0" borderId="0" applyFont="0" applyFill="0" applyBorder="0" applyAlignment="0" applyProtection="0"/>
    <xf numFmtId="0" fontId="44" fillId="0" borderId="0"/>
    <xf numFmtId="0" fontId="48" fillId="8" borderId="16" applyNumberFormat="0" applyBorder="0">
      <alignment horizontal="center"/>
    </xf>
    <xf numFmtId="0" fontId="51" fillId="8" borderId="19" applyNumberFormat="0" applyFont="0" applyBorder="0" applyAlignment="0" applyProtection="0">
      <alignment horizontal="center"/>
    </xf>
  </cellStyleXfs>
  <cellXfs count="283">
    <xf numFmtId="0" fontId="0" fillId="0" borderId="0" xfId="0"/>
    <xf numFmtId="0" fontId="14" fillId="0" borderId="0" xfId="0" applyFont="1"/>
    <xf numFmtId="0" fontId="16" fillId="0" borderId="0" xfId="0" applyFont="1"/>
    <xf numFmtId="166" fontId="14" fillId="0" borderId="0" xfId="0" applyNumberFormat="1" applyFont="1" applyAlignment="1">
      <alignment horizontal="center"/>
    </xf>
    <xf numFmtId="168" fontId="16" fillId="0" borderId="0" xfId="0" applyNumberFormat="1" applyFont="1"/>
    <xf numFmtId="169" fontId="16" fillId="0" borderId="0" xfId="0" applyNumberFormat="1" applyFont="1"/>
    <xf numFmtId="0" fontId="16" fillId="0" borderId="0" xfId="0" applyFont="1" applyAlignment="1">
      <alignment horizontal="center"/>
    </xf>
    <xf numFmtId="0" fontId="0" fillId="0" borderId="0" xfId="0" applyAlignment="1">
      <alignment horizontal="center"/>
    </xf>
    <xf numFmtId="37" fontId="0" fillId="0" borderId="0" xfId="0" applyNumberFormat="1"/>
    <xf numFmtId="170" fontId="0" fillId="0" borderId="0" xfId="0" applyNumberFormat="1"/>
    <xf numFmtId="3" fontId="0" fillId="0" borderId="0" xfId="0" applyNumberFormat="1"/>
    <xf numFmtId="0" fontId="16" fillId="0" borderId="3" xfId="0" applyFont="1" applyBorder="1" applyAlignment="1">
      <alignment horizontal="center"/>
    </xf>
    <xf numFmtId="168" fontId="0" fillId="0" borderId="0" xfId="0" applyNumberFormat="1"/>
    <xf numFmtId="169" fontId="0" fillId="0" borderId="0" xfId="0" applyNumberFormat="1"/>
    <xf numFmtId="0" fontId="7" fillId="3" borderId="0" xfId="0" applyFont="1" applyFill="1" applyAlignment="1">
      <alignment horizontal="center"/>
    </xf>
    <xf numFmtId="0" fontId="0" fillId="4" borderId="0" xfId="0" applyFill="1"/>
    <xf numFmtId="0" fontId="5" fillId="4" borderId="0" xfId="0" applyFont="1" applyFill="1" applyAlignment="1">
      <alignment horizontal="center"/>
    </xf>
    <xf numFmtId="0" fontId="6" fillId="4" borderId="0" xfId="0" applyFont="1" applyFill="1" applyAlignment="1">
      <alignment horizontal="center"/>
    </xf>
    <xf numFmtId="0" fontId="7" fillId="4" borderId="0" xfId="0" applyFont="1" applyFill="1" applyAlignment="1">
      <alignment horizontal="center"/>
    </xf>
    <xf numFmtId="0" fontId="8" fillId="4" borderId="0" xfId="0" applyFont="1" applyFill="1" applyAlignment="1">
      <alignment horizontal="center"/>
    </xf>
    <xf numFmtId="0" fontId="12" fillId="4" borderId="0" xfId="1" applyFont="1" applyFill="1" applyAlignment="1">
      <alignment horizontal="left"/>
    </xf>
    <xf numFmtId="0" fontId="12" fillId="4" borderId="0" xfId="1" applyFont="1" applyFill="1"/>
    <xf numFmtId="0" fontId="0" fillId="4" borderId="0" xfId="0" applyFill="1" applyAlignment="1">
      <alignment wrapText="1"/>
    </xf>
    <xf numFmtId="0" fontId="12" fillId="4" borderId="0" xfId="1" applyFont="1" applyFill="1" applyAlignment="1">
      <alignment horizontal="left" wrapText="1"/>
    </xf>
    <xf numFmtId="0" fontId="12" fillId="4" borderId="0" xfId="1" applyFont="1" applyFill="1" applyAlignment="1">
      <alignment wrapText="1"/>
    </xf>
    <xf numFmtId="0" fontId="9" fillId="4" borderId="0" xfId="0" applyFont="1" applyFill="1" applyAlignment="1">
      <alignment horizontal="center"/>
    </xf>
    <xf numFmtId="0" fontId="0" fillId="2" borderId="0" xfId="0" applyFill="1"/>
    <xf numFmtId="0" fontId="5" fillId="2" borderId="0" xfId="0" applyFont="1" applyFill="1" applyAlignment="1">
      <alignment horizontal="center"/>
    </xf>
    <xf numFmtId="164" fontId="5" fillId="2" borderId="0" xfId="0" applyNumberFormat="1" applyFont="1" applyFill="1" applyAlignment="1">
      <alignment horizontal="center"/>
    </xf>
    <xf numFmtId="0" fontId="4" fillId="2" borderId="0" xfId="0" applyFont="1" applyFill="1" applyAlignment="1">
      <alignment horizontal="center"/>
    </xf>
    <xf numFmtId="0" fontId="6" fillId="2" borderId="0" xfId="0" applyFont="1" applyFill="1"/>
    <xf numFmtId="0" fontId="6" fillId="2" borderId="0" xfId="0" applyFont="1" applyFill="1" applyAlignment="1">
      <alignment horizontal="center"/>
    </xf>
    <xf numFmtId="0" fontId="8" fillId="2" borderId="0" xfId="0" applyFont="1" applyFill="1" applyAlignment="1">
      <alignment horizontal="center"/>
    </xf>
    <xf numFmtId="0" fontId="18" fillId="2" borderId="0" xfId="0" applyFont="1" applyFill="1" applyAlignment="1">
      <alignment horizontal="center"/>
    </xf>
    <xf numFmtId="165" fontId="19" fillId="2" borderId="0" xfId="0" applyNumberFormat="1" applyFont="1" applyFill="1" applyAlignment="1">
      <alignment horizontal="center"/>
    </xf>
    <xf numFmtId="167" fontId="6" fillId="2" borderId="0" xfId="0" applyNumberFormat="1" applyFont="1" applyFill="1"/>
    <xf numFmtId="0" fontId="6" fillId="2" borderId="0" xfId="0" applyFont="1" applyFill="1" applyAlignment="1">
      <alignment horizontal="left" indent="2"/>
    </xf>
    <xf numFmtId="0" fontId="8" fillId="2" borderId="0" xfId="0" applyFont="1" applyFill="1"/>
    <xf numFmtId="167" fontId="8" fillId="2" borderId="0" xfId="0" applyNumberFormat="1" applyFont="1" applyFill="1" applyAlignment="1">
      <alignment horizontal="center"/>
    </xf>
    <xf numFmtId="0" fontId="16" fillId="2" borderId="0" xfId="0" applyFont="1" applyFill="1"/>
    <xf numFmtId="0" fontId="17" fillId="2" borderId="0" xfId="0" applyFont="1" applyFill="1" applyAlignment="1">
      <alignment horizontal="center"/>
    </xf>
    <xf numFmtId="167" fontId="6" fillId="2" borderId="0" xfId="0" applyNumberFormat="1" applyFont="1" applyFill="1" applyProtection="1">
      <protection locked="0"/>
    </xf>
    <xf numFmtId="167" fontId="6" fillId="2" borderId="1" xfId="0" applyNumberFormat="1" applyFont="1" applyFill="1" applyBorder="1"/>
    <xf numFmtId="168" fontId="16" fillId="2" borderId="0" xfId="0" applyNumberFormat="1" applyFont="1" applyFill="1"/>
    <xf numFmtId="169" fontId="16" fillId="2" borderId="0" xfId="0" applyNumberFormat="1" applyFont="1" applyFill="1"/>
    <xf numFmtId="170" fontId="26" fillId="0" borderId="0" xfId="3" applyNumberFormat="1" applyFont="1" applyFill="1" applyBorder="1" applyAlignment="1">
      <alignment horizontal="center" wrapText="1"/>
    </xf>
    <xf numFmtId="0" fontId="27" fillId="0" borderId="0" xfId="0" applyFont="1" applyAlignment="1">
      <alignment horizontal="center" wrapText="1"/>
    </xf>
    <xf numFmtId="169" fontId="16" fillId="4" borderId="0" xfId="0" applyNumberFormat="1" applyFont="1" applyFill="1"/>
    <xf numFmtId="0" fontId="29" fillId="2" borderId="0" xfId="0" applyFont="1" applyFill="1" applyAlignment="1">
      <alignment horizontal="center"/>
    </xf>
    <xf numFmtId="167" fontId="6" fillId="4" borderId="12" xfId="0" applyNumberFormat="1" applyFont="1" applyFill="1" applyBorder="1" applyProtection="1">
      <protection locked="0"/>
    </xf>
    <xf numFmtId="42" fontId="0" fillId="4" borderId="0" xfId="0" applyNumberFormat="1" applyFill="1"/>
    <xf numFmtId="0" fontId="14" fillId="4" borderId="0" xfId="0" applyFont="1" applyFill="1"/>
    <xf numFmtId="0" fontId="14" fillId="4" borderId="0" xfId="0" quotePrefix="1" applyFont="1" applyFill="1"/>
    <xf numFmtId="0" fontId="33" fillId="4" borderId="0" xfId="0" applyFont="1" applyFill="1"/>
    <xf numFmtId="0" fontId="33" fillId="4" borderId="0" xfId="0" applyFont="1" applyFill="1" applyAlignment="1">
      <alignment horizontal="center"/>
    </xf>
    <xf numFmtId="0" fontId="14" fillId="4" borderId="0" xfId="0" applyFont="1" applyFill="1" applyAlignment="1">
      <alignment horizontal="left"/>
    </xf>
    <xf numFmtId="0" fontId="32" fillId="4" borderId="0" xfId="0" applyFont="1" applyFill="1" applyAlignment="1">
      <alignment horizontal="left" indent="3"/>
    </xf>
    <xf numFmtId="0" fontId="31" fillId="4" borderId="0" xfId="0" applyFont="1" applyFill="1" applyAlignment="1">
      <alignment horizontal="left" indent="4"/>
    </xf>
    <xf numFmtId="165" fontId="19" fillId="4" borderId="0" xfId="0" applyNumberFormat="1" applyFont="1" applyFill="1" applyAlignment="1">
      <alignment horizontal="center"/>
    </xf>
    <xf numFmtId="0" fontId="10" fillId="4" borderId="0" xfId="0" applyFont="1" applyFill="1"/>
    <xf numFmtId="166" fontId="6" fillId="4" borderId="0" xfId="0" applyNumberFormat="1" applyFont="1" applyFill="1"/>
    <xf numFmtId="0" fontId="6" fillId="4" borderId="0" xfId="0" applyFont="1" applyFill="1" applyAlignment="1">
      <alignment horizontal="center" vertical="top"/>
    </xf>
    <xf numFmtId="0" fontId="0" fillId="4" borderId="0" xfId="0" applyFill="1" applyAlignment="1">
      <alignment vertical="top"/>
    </xf>
    <xf numFmtId="0" fontId="6" fillId="4" borderId="0" xfId="0" applyFont="1" applyFill="1"/>
    <xf numFmtId="0" fontId="6" fillId="4" borderId="0" xfId="0" applyFont="1" applyFill="1" applyAlignment="1">
      <alignment horizontal="left" vertical="top"/>
    </xf>
    <xf numFmtId="0" fontId="6" fillId="4" borderId="0" xfId="0" applyFont="1" applyFill="1" applyAlignment="1">
      <alignment vertical="top"/>
    </xf>
    <xf numFmtId="0" fontId="6" fillId="4" borderId="0" xfId="0" applyFont="1" applyFill="1" applyAlignment="1">
      <alignment vertical="top" wrapText="1"/>
    </xf>
    <xf numFmtId="0" fontId="0" fillId="4" borderId="0" xfId="0" applyFill="1" applyAlignment="1">
      <alignment vertical="top" wrapText="1"/>
    </xf>
    <xf numFmtId="49" fontId="6" fillId="4" borderId="0" xfId="0" quotePrefix="1" applyNumberFormat="1" applyFont="1" applyFill="1" applyAlignment="1">
      <alignment horizontal="center" vertical="top"/>
    </xf>
    <xf numFmtId="0" fontId="6" fillId="4" borderId="0" xfId="0" applyFont="1" applyFill="1" applyAlignment="1">
      <alignment horizontal="left" vertical="top" wrapText="1"/>
    </xf>
    <xf numFmtId="0" fontId="14" fillId="2" borderId="0" xfId="0" quotePrefix="1" applyFont="1" applyFill="1" applyAlignment="1">
      <alignment horizontal="center"/>
    </xf>
    <xf numFmtId="0" fontId="14" fillId="2" borderId="3" xfId="0" quotePrefix="1" applyFont="1" applyFill="1" applyBorder="1" applyAlignment="1">
      <alignment horizontal="center"/>
    </xf>
    <xf numFmtId="169" fontId="16" fillId="2" borderId="3" xfId="0" applyNumberFormat="1" applyFont="1" applyFill="1" applyBorder="1"/>
    <xf numFmtId="168" fontId="16" fillId="2" borderId="2" xfId="0" applyNumberFormat="1" applyFont="1" applyFill="1" applyBorder="1"/>
    <xf numFmtId="0" fontId="14" fillId="4" borderId="0" xfId="0" applyFont="1" applyFill="1" applyAlignment="1">
      <alignment horizontal="center"/>
    </xf>
    <xf numFmtId="166" fontId="14" fillId="4" borderId="3" xfId="0" applyNumberFormat="1" applyFont="1" applyFill="1" applyBorder="1" applyAlignment="1">
      <alignment horizontal="center"/>
    </xf>
    <xf numFmtId="166" fontId="20" fillId="4" borderId="0" xfId="0" applyNumberFormat="1" applyFont="1" applyFill="1" applyAlignment="1">
      <alignment horizontal="center"/>
    </xf>
    <xf numFmtId="166" fontId="14" fillId="4" borderId="0" xfId="0" applyNumberFormat="1" applyFont="1" applyFill="1" applyAlignment="1">
      <alignment horizontal="center"/>
    </xf>
    <xf numFmtId="0" fontId="16" fillId="4" borderId="0" xfId="1" applyFont="1" applyFill="1"/>
    <xf numFmtId="1" fontId="16" fillId="4" borderId="0" xfId="0" applyNumberFormat="1" applyFont="1" applyFill="1" applyAlignment="1">
      <alignment horizontal="center"/>
    </xf>
    <xf numFmtId="168" fontId="16" fillId="4" borderId="0" xfId="0" applyNumberFormat="1" applyFont="1" applyFill="1"/>
    <xf numFmtId="167" fontId="16" fillId="4" borderId="0" xfId="0" applyNumberFormat="1" applyFont="1" applyFill="1"/>
    <xf numFmtId="169" fontId="16" fillId="4" borderId="3" xfId="0" applyNumberFormat="1" applyFont="1" applyFill="1" applyBorder="1"/>
    <xf numFmtId="0" fontId="16" fillId="4" borderId="0" xfId="1" applyFont="1" applyFill="1" applyAlignment="1">
      <alignment horizontal="left" indent="1"/>
    </xf>
    <xf numFmtId="0" fontId="16" fillId="4" borderId="0" xfId="0" applyFont="1" applyFill="1" applyAlignment="1">
      <alignment horizontal="center"/>
    </xf>
    <xf numFmtId="168" fontId="16" fillId="4" borderId="2" xfId="0" applyNumberFormat="1" applyFont="1" applyFill="1" applyBorder="1"/>
    <xf numFmtId="0" fontId="34" fillId="4" borderId="0" xfId="0" applyFont="1" applyFill="1"/>
    <xf numFmtId="0" fontId="23" fillId="4" borderId="12" xfId="0" applyFont="1" applyFill="1" applyBorder="1" applyAlignment="1" applyProtection="1">
      <alignment horizontal="center"/>
      <protection locked="0"/>
    </xf>
    <xf numFmtId="168" fontId="0" fillId="0" borderId="2" xfId="0" applyNumberFormat="1" applyBorder="1"/>
    <xf numFmtId="0" fontId="14" fillId="0" borderId="3" xfId="0" applyFont="1" applyBorder="1"/>
    <xf numFmtId="0" fontId="14" fillId="4" borderId="3" xfId="0" applyFont="1" applyFill="1" applyBorder="1" applyAlignment="1">
      <alignment horizontal="center"/>
    </xf>
    <xf numFmtId="0" fontId="16" fillId="4" borderId="0" xfId="0" applyFont="1" applyFill="1"/>
    <xf numFmtId="0" fontId="16" fillId="4" borderId="5" xfId="0" applyFont="1" applyFill="1" applyBorder="1"/>
    <xf numFmtId="0" fontId="0" fillId="4" borderId="6" xfId="0" applyFill="1" applyBorder="1"/>
    <xf numFmtId="0" fontId="0" fillId="4" borderId="7" xfId="0" applyFill="1" applyBorder="1"/>
    <xf numFmtId="0" fontId="16" fillId="4" borderId="8" xfId="0" applyFont="1" applyFill="1" applyBorder="1"/>
    <xf numFmtId="0" fontId="0" fillId="4" borderId="9" xfId="0" applyFill="1" applyBorder="1"/>
    <xf numFmtId="15" fontId="14" fillId="4" borderId="8" xfId="0" quotePrefix="1" applyNumberFormat="1" applyFont="1" applyFill="1" applyBorder="1"/>
    <xf numFmtId="0" fontId="0" fillId="4" borderId="8" xfId="0" applyFill="1" applyBorder="1"/>
    <xf numFmtId="0" fontId="21" fillId="4" borderId="0" xfId="0" applyFont="1" applyFill="1" applyAlignment="1">
      <alignment horizontal="center"/>
    </xf>
    <xf numFmtId="0" fontId="16" fillId="4" borderId="3" xfId="0" applyFont="1" applyFill="1" applyBorder="1" applyAlignment="1">
      <alignment horizontal="center"/>
    </xf>
    <xf numFmtId="0" fontId="0" fillId="4" borderId="0" xfId="0" applyFill="1" applyAlignment="1">
      <alignment horizontal="center"/>
    </xf>
    <xf numFmtId="42" fontId="16" fillId="4" borderId="0" xfId="0" applyNumberFormat="1" applyFont="1" applyFill="1"/>
    <xf numFmtId="41" fontId="16" fillId="4" borderId="0" xfId="0" applyNumberFormat="1" applyFont="1" applyFill="1"/>
    <xf numFmtId="41" fontId="0" fillId="4" borderId="0" xfId="0" applyNumberFormat="1" applyFill="1"/>
    <xf numFmtId="0" fontId="16" fillId="4" borderId="8" xfId="0" applyFont="1" applyFill="1" applyBorder="1" applyAlignment="1">
      <alignment horizontal="left" indent="2"/>
    </xf>
    <xf numFmtId="42" fontId="0" fillId="4" borderId="2" xfId="0" applyNumberFormat="1" applyFill="1" applyBorder="1"/>
    <xf numFmtId="15" fontId="22" fillId="4" borderId="8" xfId="0" quotePrefix="1" applyNumberFormat="1" applyFont="1" applyFill="1" applyBorder="1"/>
    <xf numFmtId="0" fontId="0" fillId="4" borderId="11" xfId="0" applyFill="1" applyBorder="1"/>
    <xf numFmtId="0" fontId="0" fillId="4" borderId="3" xfId="0" applyFill="1" applyBorder="1"/>
    <xf numFmtId="0" fontId="0" fillId="4" borderId="10" xfId="0" applyFill="1" applyBorder="1"/>
    <xf numFmtId="0" fontId="0" fillId="4" borderId="8" xfId="0" applyFill="1" applyBorder="1" applyAlignment="1">
      <alignment horizontal="left" indent="2"/>
    </xf>
    <xf numFmtId="169" fontId="0" fillId="4" borderId="0" xfId="0" applyNumberFormat="1" applyFill="1"/>
    <xf numFmtId="0" fontId="16" fillId="4" borderId="8" xfId="0" applyFont="1" applyFill="1" applyBorder="1" applyAlignment="1">
      <alignment horizontal="left" indent="3"/>
    </xf>
    <xf numFmtId="168" fontId="0" fillId="4" borderId="2" xfId="0" applyNumberFormat="1" applyFill="1" applyBorder="1"/>
    <xf numFmtId="0" fontId="22" fillId="4" borderId="8" xfId="0" applyFont="1" applyFill="1" applyBorder="1"/>
    <xf numFmtId="0" fontId="16" fillId="4" borderId="11" xfId="0" applyFont="1" applyFill="1" applyBorder="1"/>
    <xf numFmtId="0" fontId="16" fillId="4" borderId="8" xfId="0" quotePrefix="1" applyFont="1" applyFill="1" applyBorder="1"/>
    <xf numFmtId="168" fontId="16" fillId="4" borderId="4" xfId="0" applyNumberFormat="1" applyFont="1" applyFill="1" applyBorder="1"/>
    <xf numFmtId="0" fontId="0" fillId="4" borderId="8" xfId="0" applyFill="1" applyBorder="1" applyAlignment="1">
      <alignment horizontal="center"/>
    </xf>
    <xf numFmtId="168" fontId="0" fillId="4" borderId="0" xfId="0" applyNumberFormat="1" applyFill="1"/>
    <xf numFmtId="168" fontId="0" fillId="4" borderId="3" xfId="0" applyNumberFormat="1" applyFill="1" applyBorder="1"/>
    <xf numFmtId="0" fontId="36" fillId="2" borderId="0" xfId="0" applyFont="1" applyFill="1"/>
    <xf numFmtId="0" fontId="14" fillId="4" borderId="0" xfId="0" quotePrefix="1" applyFont="1" applyFill="1" applyAlignment="1">
      <alignment horizontal="center"/>
    </xf>
    <xf numFmtId="0" fontId="37" fillId="0" borderId="0" xfId="0" applyFont="1"/>
    <xf numFmtId="0" fontId="6" fillId="0" borderId="0" xfId="0" applyFont="1"/>
    <xf numFmtId="167" fontId="6" fillId="4" borderId="0" xfId="0" applyNumberFormat="1" applyFont="1" applyFill="1" applyProtection="1">
      <protection locked="0"/>
    </xf>
    <xf numFmtId="0" fontId="25" fillId="0" borderId="13" xfId="0" applyFont="1" applyBorder="1" applyAlignment="1">
      <alignment horizontal="centerContinuous"/>
    </xf>
    <xf numFmtId="0" fontId="25" fillId="0" borderId="1" xfId="0" applyFont="1" applyBorder="1" applyAlignment="1">
      <alignment horizontal="centerContinuous"/>
    </xf>
    <xf numFmtId="0" fontId="25" fillId="0" borderId="14" xfId="0" applyFont="1" applyBorder="1" applyAlignment="1">
      <alignment horizontal="centerContinuous"/>
    </xf>
    <xf numFmtId="0" fontId="14" fillId="0" borderId="0" xfId="0" applyFont="1" applyAlignment="1">
      <alignment horizontal="center" wrapText="1"/>
    </xf>
    <xf numFmtId="0" fontId="14" fillId="0" borderId="0" xfId="0" applyFont="1" applyAlignment="1">
      <alignment horizontal="center"/>
    </xf>
    <xf numFmtId="0" fontId="20" fillId="4" borderId="0" xfId="0" applyFont="1" applyFill="1"/>
    <xf numFmtId="0" fontId="38" fillId="4" borderId="0" xfId="0" applyFont="1" applyFill="1"/>
    <xf numFmtId="0" fontId="37" fillId="4" borderId="0" xfId="0" applyFont="1" applyFill="1"/>
    <xf numFmtId="0" fontId="39" fillId="5" borderId="0" xfId="0" applyFont="1" applyFill="1"/>
    <xf numFmtId="0" fontId="41" fillId="4" borderId="0" xfId="0" applyFont="1" applyFill="1" applyAlignment="1">
      <alignment horizontal="left"/>
    </xf>
    <xf numFmtId="0" fontId="42" fillId="4" borderId="0" xfId="0" applyFont="1" applyFill="1" applyAlignment="1">
      <alignment horizontal="left" indent="1"/>
    </xf>
    <xf numFmtId="0" fontId="42" fillId="0" borderId="0" xfId="0" applyFont="1" applyAlignment="1">
      <alignment horizontal="left" indent="1"/>
    </xf>
    <xf numFmtId="1" fontId="16" fillId="0" borderId="0" xfId="0" applyNumberFormat="1" applyFont="1" applyAlignment="1">
      <alignment horizontal="center"/>
    </xf>
    <xf numFmtId="0" fontId="20" fillId="4" borderId="0" xfId="1" applyFont="1" applyFill="1"/>
    <xf numFmtId="0" fontId="22" fillId="4" borderId="0" xfId="1" applyFont="1" applyFill="1" applyAlignment="1">
      <alignment horizontal="left"/>
    </xf>
    <xf numFmtId="166" fontId="15" fillId="2" borderId="0" xfId="0" applyNumberFormat="1" applyFont="1" applyFill="1"/>
    <xf numFmtId="166" fontId="39" fillId="2" borderId="0" xfId="0" applyNumberFormat="1" applyFont="1" applyFill="1"/>
    <xf numFmtId="0" fontId="15" fillId="2" borderId="0" xfId="0" applyFont="1" applyFill="1"/>
    <xf numFmtId="166" fontId="15" fillId="2" borderId="0" xfId="0" quotePrefix="1" applyNumberFormat="1" applyFont="1" applyFill="1"/>
    <xf numFmtId="171" fontId="25" fillId="0" borderId="0" xfId="0" applyNumberFormat="1" applyFont="1"/>
    <xf numFmtId="166" fontId="6" fillId="2" borderId="0" xfId="0" applyNumberFormat="1" applyFont="1" applyFill="1"/>
    <xf numFmtId="170" fontId="45" fillId="0" borderId="0" xfId="3" applyNumberFormat="1" applyFont="1" applyFill="1" applyBorder="1"/>
    <xf numFmtId="171" fontId="14" fillId="0" borderId="4" xfId="2" applyNumberFormat="1" applyFont="1" applyFill="1" applyBorder="1"/>
    <xf numFmtId="0" fontId="43" fillId="0" borderId="0" xfId="0" applyFont="1" applyAlignment="1">
      <alignment horizontal="center"/>
    </xf>
    <xf numFmtId="0" fontId="43" fillId="0" borderId="0" xfId="0" applyFont="1" applyAlignment="1">
      <alignment horizontal="left"/>
    </xf>
    <xf numFmtId="171" fontId="43" fillId="0" borderId="0" xfId="0" applyNumberFormat="1" applyFont="1"/>
    <xf numFmtId="0" fontId="0" fillId="0" borderId="8" xfId="0" applyBorder="1"/>
    <xf numFmtId="0" fontId="7" fillId="2" borderId="0" xfId="0" applyFont="1" applyFill="1"/>
    <xf numFmtId="15" fontId="16" fillId="4" borderId="0" xfId="0" quotePrefix="1" applyNumberFormat="1" applyFont="1" applyFill="1" applyAlignment="1">
      <alignment horizontal="center"/>
    </xf>
    <xf numFmtId="0" fontId="40" fillId="0" borderId="0" xfId="0" applyFont="1"/>
    <xf numFmtId="0" fontId="6" fillId="2" borderId="0" xfId="0" applyFont="1" applyFill="1" applyAlignment="1">
      <alignment horizontal="left"/>
    </xf>
    <xf numFmtId="37" fontId="0" fillId="0" borderId="0" xfId="0" applyNumberFormat="1" applyAlignment="1">
      <alignment horizontal="center"/>
    </xf>
    <xf numFmtId="37" fontId="14" fillId="0" borderId="0" xfId="0" applyNumberFormat="1" applyFont="1" applyAlignment="1">
      <alignment horizontal="center"/>
    </xf>
    <xf numFmtId="0" fontId="16" fillId="5" borderId="3" xfId="0" applyFont="1" applyFill="1" applyBorder="1" applyAlignment="1">
      <alignment horizontal="center"/>
    </xf>
    <xf numFmtId="0" fontId="16" fillId="0" borderId="8" xfId="0" applyFont="1" applyBorder="1"/>
    <xf numFmtId="171" fontId="0" fillId="0" borderId="0" xfId="0" applyNumberFormat="1"/>
    <xf numFmtId="0" fontId="40" fillId="4" borderId="0" xfId="0" applyFont="1" applyFill="1" applyAlignment="1">
      <alignment horizontal="left"/>
    </xf>
    <xf numFmtId="171" fontId="0" fillId="0" borderId="0" xfId="2" applyNumberFormat="1" applyFont="1"/>
    <xf numFmtId="0" fontId="46" fillId="2" borderId="0" xfId="0" applyFont="1" applyFill="1" applyAlignment="1">
      <alignment horizontal="left"/>
    </xf>
    <xf numFmtId="0" fontId="39" fillId="2" borderId="0" xfId="0" applyFont="1" applyFill="1"/>
    <xf numFmtId="167" fontId="6" fillId="2" borderId="0" xfId="0" applyNumberFormat="1" applyFont="1" applyFill="1" applyAlignment="1">
      <alignment horizontal="center"/>
    </xf>
    <xf numFmtId="167" fontId="6" fillId="2" borderId="12" xfId="0" applyNumberFormat="1" applyFont="1" applyFill="1" applyBorder="1" applyProtection="1">
      <protection locked="0"/>
    </xf>
    <xf numFmtId="0" fontId="16" fillId="0" borderId="0" xfId="10" applyNumberFormat="1" applyFont="1" applyFill="1" applyBorder="1" applyAlignment="1">
      <alignment horizontal="center"/>
    </xf>
    <xf numFmtId="38" fontId="16" fillId="0" borderId="0" xfId="12" applyNumberFormat="1" applyFont="1" applyFill="1" applyBorder="1" applyAlignment="1">
      <alignment wrapText="1"/>
    </xf>
    <xf numFmtId="170" fontId="16" fillId="0" borderId="0" xfId="9" applyNumberFormat="1" applyFont="1" applyFill="1" applyBorder="1" applyAlignment="1"/>
    <xf numFmtId="171" fontId="43" fillId="0" borderId="0" xfId="2" applyNumberFormat="1" applyFont="1" applyFill="1"/>
    <xf numFmtId="170" fontId="16" fillId="0" borderId="0" xfId="3" applyNumberFormat="1" applyFont="1" applyFill="1" applyBorder="1"/>
    <xf numFmtId="41" fontId="0" fillId="0" borderId="0" xfId="2" applyNumberFormat="1" applyFont="1" applyFill="1"/>
    <xf numFmtId="0" fontId="0" fillId="0" borderId="0" xfId="0" applyAlignment="1">
      <alignment wrapText="1"/>
    </xf>
    <xf numFmtId="0" fontId="6" fillId="7" borderId="0" xfId="0" applyFont="1" applyFill="1"/>
    <xf numFmtId="0" fontId="6" fillId="7" borderId="0" xfId="0" applyFont="1" applyFill="1" applyAlignment="1">
      <alignment horizontal="center"/>
    </xf>
    <xf numFmtId="167" fontId="6" fillId="7" borderId="0" xfId="0" applyNumberFormat="1" applyFont="1" applyFill="1"/>
    <xf numFmtId="166" fontId="15" fillId="7" borderId="0" xfId="0" applyNumberFormat="1" applyFont="1" applyFill="1"/>
    <xf numFmtId="0" fontId="6" fillId="7" borderId="0" xfId="0" applyFont="1" applyFill="1" applyAlignment="1">
      <alignment horizontal="left" indent="2"/>
    </xf>
    <xf numFmtId="0" fontId="16" fillId="7" borderId="0" xfId="1" applyFont="1" applyFill="1"/>
    <xf numFmtId="1" fontId="16" fillId="7" borderId="0" xfId="0" applyNumberFormat="1" applyFont="1" applyFill="1" applyAlignment="1">
      <alignment horizontal="center"/>
    </xf>
    <xf numFmtId="168" fontId="16" fillId="7" borderId="0" xfId="0" applyNumberFormat="1" applyFont="1" applyFill="1"/>
    <xf numFmtId="167" fontId="16" fillId="7" borderId="0" xfId="0" applyNumberFormat="1" applyFont="1" applyFill="1"/>
    <xf numFmtId="0" fontId="16" fillId="7" borderId="3" xfId="0" applyFont="1" applyFill="1" applyBorder="1" applyAlignment="1">
      <alignment horizontal="center"/>
    </xf>
    <xf numFmtId="0" fontId="16" fillId="4" borderId="9" xfId="0" applyFont="1" applyFill="1" applyBorder="1"/>
    <xf numFmtId="0" fontId="0" fillId="0" borderId="17" xfId="0" applyBorder="1"/>
    <xf numFmtId="0" fontId="44" fillId="0" borderId="0" xfId="14" applyFont="1"/>
    <xf numFmtId="0" fontId="0" fillId="9" borderId="17" xfId="0" applyFill="1" applyBorder="1"/>
    <xf numFmtId="0" fontId="16" fillId="0" borderId="0" xfId="14" applyFont="1" applyAlignment="1">
      <alignment horizontal="center"/>
    </xf>
    <xf numFmtId="0" fontId="16" fillId="0" borderId="0" xfId="14" applyFont="1" applyAlignment="1">
      <alignment horizontal="left"/>
    </xf>
    <xf numFmtId="0" fontId="49" fillId="6" borderId="0" xfId="0" applyFont="1" applyFill="1" applyAlignment="1">
      <alignment horizontal="center"/>
    </xf>
    <xf numFmtId="0" fontId="50" fillId="0" borderId="0" xfId="0" applyFont="1" applyAlignment="1">
      <alignment horizontal="center"/>
    </xf>
    <xf numFmtId="0" fontId="49" fillId="6" borderId="0" xfId="0" applyFont="1" applyFill="1" applyAlignment="1">
      <alignment horizontal="left"/>
    </xf>
    <xf numFmtId="0" fontId="50" fillId="0" borderId="0" xfId="0" applyFont="1" applyAlignment="1">
      <alignment horizontal="left"/>
    </xf>
    <xf numFmtId="0" fontId="52" fillId="0" borderId="0" xfId="21" applyFont="1" applyFill="1" applyBorder="1" applyAlignment="1"/>
    <xf numFmtId="171" fontId="49" fillId="6" borderId="0" xfId="15" applyNumberFormat="1" applyFont="1" applyFill="1" applyAlignment="1">
      <alignment horizontal="center"/>
    </xf>
    <xf numFmtId="171" fontId="50" fillId="0" borderId="0" xfId="15" applyNumberFormat="1" applyFont="1" applyFill="1" applyBorder="1"/>
    <xf numFmtId="171" fontId="49" fillId="6" borderId="3" xfId="15" applyNumberFormat="1" applyFont="1" applyFill="1" applyBorder="1" applyAlignment="1">
      <alignment horizontal="center"/>
    </xf>
    <xf numFmtId="173" fontId="0" fillId="0" borderId="0" xfId="13" applyNumberFormat="1" applyFont="1"/>
    <xf numFmtId="171" fontId="53" fillId="0" borderId="4" xfId="15" applyNumberFormat="1" applyFont="1" applyBorder="1"/>
    <xf numFmtId="0" fontId="0" fillId="11" borderId="0" xfId="0" applyFill="1"/>
    <xf numFmtId="0" fontId="35" fillId="0" borderId="0" xfId="4" applyAlignment="1">
      <alignment vertical="center"/>
    </xf>
    <xf numFmtId="0" fontId="0" fillId="9" borderId="20" xfId="0" applyFill="1" applyBorder="1"/>
    <xf numFmtId="37" fontId="0" fillId="9" borderId="20" xfId="0" applyNumberFormat="1" applyFill="1" applyBorder="1"/>
    <xf numFmtId="37" fontId="0" fillId="9" borderId="18" xfId="0" applyNumberFormat="1" applyFill="1" applyBorder="1"/>
    <xf numFmtId="0" fontId="0" fillId="0" borderId="20" xfId="0" applyBorder="1"/>
    <xf numFmtId="0" fontId="25" fillId="5" borderId="1" xfId="0" applyFont="1" applyFill="1" applyBorder="1" applyAlignment="1">
      <alignment horizontal="centerContinuous"/>
    </xf>
    <xf numFmtId="0" fontId="25" fillId="5" borderId="14" xfId="0" applyFont="1" applyFill="1" applyBorder="1" applyAlignment="1">
      <alignment horizontal="centerContinuous"/>
    </xf>
    <xf numFmtId="171" fontId="50" fillId="12" borderId="0" xfId="15" applyNumberFormat="1" applyFont="1" applyFill="1" applyBorder="1"/>
    <xf numFmtId="0" fontId="0" fillId="12" borderId="0" xfId="0" applyFill="1"/>
    <xf numFmtId="0" fontId="0" fillId="0" borderId="15" xfId="0" applyBorder="1" applyAlignment="1">
      <alignment horizontal="center"/>
    </xf>
    <xf numFmtId="37" fontId="16" fillId="0" borderId="15" xfId="0" applyNumberFormat="1" applyFont="1" applyBorder="1" applyAlignment="1">
      <alignment horizontal="center"/>
    </xf>
    <xf numFmtId="0" fontId="0" fillId="0" borderId="3" xfId="0" applyBorder="1" applyAlignment="1">
      <alignment horizontal="center"/>
    </xf>
    <xf numFmtId="0" fontId="16" fillId="0" borderId="3" xfId="0" applyFont="1" applyBorder="1" applyAlignment="1">
      <alignment horizontal="center" wrapText="1"/>
    </xf>
    <xf numFmtId="0" fontId="16" fillId="0" borderId="3" xfId="0" quotePrefix="1" applyFont="1" applyBorder="1" applyAlignment="1">
      <alignment horizontal="center" wrapText="1"/>
    </xf>
    <xf numFmtId="0" fontId="28" fillId="0" borderId="1" xfId="0" applyFont="1" applyBorder="1" applyAlignment="1">
      <alignment horizontal="center" wrapText="1"/>
    </xf>
    <xf numFmtId="0" fontId="0" fillId="0" borderId="3" xfId="0" applyBorder="1" applyAlignment="1">
      <alignment horizontal="center" wrapText="1"/>
    </xf>
    <xf numFmtId="0" fontId="16" fillId="0" borderId="0" xfId="0" applyFont="1" applyAlignment="1">
      <alignment horizontal="center" wrapText="1"/>
    </xf>
    <xf numFmtId="0" fontId="0" fillId="0" borderId="0" xfId="0" applyAlignment="1">
      <alignment horizontal="center" wrapText="1"/>
    </xf>
    <xf numFmtId="37" fontId="0" fillId="0" borderId="0" xfId="0" applyNumberFormat="1" applyAlignment="1">
      <alignment horizontal="center" wrapText="1"/>
    </xf>
    <xf numFmtId="170" fontId="16" fillId="9" borderId="18" xfId="3" applyNumberFormat="1" applyFont="1" applyFill="1" applyBorder="1"/>
    <xf numFmtId="171" fontId="0" fillId="9" borderId="20" xfId="2" applyNumberFormat="1" applyFont="1" applyFill="1" applyBorder="1"/>
    <xf numFmtId="170" fontId="16" fillId="0" borderId="18" xfId="3" applyNumberFormat="1" applyFont="1" applyBorder="1"/>
    <xf numFmtId="171" fontId="0" fillId="0" borderId="20" xfId="2" applyNumberFormat="1" applyFont="1" applyBorder="1"/>
    <xf numFmtId="0" fontId="45" fillId="9" borderId="17" xfId="0" applyFont="1" applyFill="1" applyBorder="1" applyAlignment="1">
      <alignment horizontal="center"/>
    </xf>
    <xf numFmtId="0" fontId="45" fillId="9" borderId="20" xfId="0" applyFont="1" applyFill="1" applyBorder="1"/>
    <xf numFmtId="0" fontId="45" fillId="0" borderId="17" xfId="0" applyFont="1" applyBorder="1" applyAlignment="1">
      <alignment horizontal="center"/>
    </xf>
    <xf numFmtId="0" fontId="45" fillId="0" borderId="20" xfId="0" applyFont="1" applyBorder="1"/>
    <xf numFmtId="0" fontId="36" fillId="12" borderId="0" xfId="0" applyFont="1" applyFill="1"/>
    <xf numFmtId="171" fontId="0" fillId="10" borderId="0" xfId="0" applyNumberFormat="1" applyFill="1"/>
    <xf numFmtId="171" fontId="49" fillId="6" borderId="0" xfId="15" applyNumberFormat="1" applyFont="1" applyFill="1" applyBorder="1" applyAlignment="1">
      <alignment horizontal="center"/>
    </xf>
    <xf numFmtId="172" fontId="43" fillId="0" borderId="0" xfId="0" applyNumberFormat="1" applyFont="1"/>
    <xf numFmtId="171" fontId="43" fillId="0" borderId="0" xfId="2" applyNumberFormat="1" applyFont="1" applyFill="1" applyBorder="1"/>
    <xf numFmtId="172" fontId="16" fillId="0" borderId="0" xfId="0" applyNumberFormat="1" applyFont="1"/>
    <xf numFmtId="41" fontId="43" fillId="0" borderId="0" xfId="2" applyNumberFormat="1" applyFont="1" applyFill="1" applyBorder="1"/>
    <xf numFmtId="171" fontId="1" fillId="0" borderId="0" xfId="0" applyNumberFormat="1" applyFont="1"/>
    <xf numFmtId="0" fontId="49" fillId="0" borderId="0" xfId="0" applyFont="1" applyAlignment="1">
      <alignment horizontal="center"/>
    </xf>
    <xf numFmtId="0" fontId="49" fillId="0" borderId="0" xfId="0" applyFont="1"/>
    <xf numFmtId="0" fontId="50" fillId="0" borderId="0" xfId="0" applyFont="1"/>
    <xf numFmtId="0" fontId="49" fillId="5" borderId="0" xfId="0" applyFont="1" applyFill="1" applyAlignment="1">
      <alignment horizontal="center"/>
    </xf>
    <xf numFmtId="0" fontId="49" fillId="5" borderId="0" xfId="0" applyFont="1" applyFill="1" applyAlignment="1">
      <alignment horizontal="left"/>
    </xf>
    <xf numFmtId="171" fontId="0" fillId="13" borderId="20" xfId="2" applyNumberFormat="1" applyFont="1" applyFill="1" applyBorder="1"/>
    <xf numFmtId="3" fontId="6" fillId="2" borderId="0" xfId="0" applyNumberFormat="1" applyFont="1" applyFill="1"/>
    <xf numFmtId="0" fontId="16" fillId="14" borderId="0" xfId="0" applyFont="1" applyFill="1"/>
    <xf numFmtId="0" fontId="0" fillId="14" borderId="0" xfId="0" applyFill="1"/>
    <xf numFmtId="0" fontId="50" fillId="6" borderId="0" xfId="0" applyFont="1" applyFill="1" applyAlignment="1">
      <alignment horizontal="left"/>
    </xf>
    <xf numFmtId="0" fontId="16" fillId="15" borderId="0" xfId="0" applyFont="1" applyFill="1"/>
    <xf numFmtId="37" fontId="16" fillId="0" borderId="3" xfId="0" applyNumberFormat="1" applyFont="1" applyBorder="1" applyAlignment="1">
      <alignment horizontal="center" wrapText="1"/>
    </xf>
    <xf numFmtId="0" fontId="35" fillId="0" borderId="0" xfId="4"/>
    <xf numFmtId="0" fontId="0" fillId="0" borderId="0" xfId="0"/>
    <xf numFmtId="0" fontId="22" fillId="4" borderId="0" xfId="0" applyFont="1" applyFill="1" applyAlignment="1">
      <alignment horizontal="left"/>
    </xf>
    <xf numFmtId="0" fontId="40" fillId="5" borderId="0" xfId="0" applyFont="1" applyFill="1" applyAlignment="1">
      <alignment horizontal="center"/>
    </xf>
    <xf numFmtId="0" fontId="17" fillId="4" borderId="0" xfId="0" applyFont="1" applyFill="1" applyAlignment="1">
      <alignment horizontal="left" vertical="center"/>
    </xf>
    <xf numFmtId="0" fontId="0" fillId="4" borderId="0" xfId="0" applyFill="1" applyAlignment="1">
      <alignment vertical="center"/>
    </xf>
    <xf numFmtId="0" fontId="6" fillId="4" borderId="0" xfId="0" applyFont="1" applyFill="1" applyAlignment="1">
      <alignment vertical="top" wrapText="1"/>
    </xf>
    <xf numFmtId="0" fontId="0" fillId="4" borderId="0" xfId="0" applyFill="1" applyAlignment="1">
      <alignment vertical="top"/>
    </xf>
    <xf numFmtId="0" fontId="0" fillId="4" borderId="0" xfId="0" applyFill="1" applyAlignment="1">
      <alignment vertical="top" wrapText="1"/>
    </xf>
    <xf numFmtId="0" fontId="6" fillId="4" borderId="0" xfId="0" applyFont="1" applyFill="1" applyAlignment="1">
      <alignment horizontal="left" vertical="top" wrapText="1"/>
    </xf>
    <xf numFmtId="0" fontId="14" fillId="4" borderId="0" xfId="0" quotePrefix="1" applyFont="1" applyFill="1" applyAlignment="1">
      <alignment horizontal="center"/>
    </xf>
    <xf numFmtId="0" fontId="14" fillId="0" borderId="0" xfId="0" applyFont="1" applyAlignment="1">
      <alignment horizontal="center"/>
    </xf>
    <xf numFmtId="0" fontId="16" fillId="4" borderId="0" xfId="1" applyFont="1" applyFill="1" applyAlignment="1">
      <alignment horizontal="left" wrapText="1"/>
    </xf>
    <xf numFmtId="0" fontId="0" fillId="0" borderId="0" xfId="0" applyAlignment="1">
      <alignment horizontal="left" wrapText="1"/>
    </xf>
    <xf numFmtId="0" fontId="0" fillId="0" borderId="0" xfId="0" applyAlignment="1">
      <alignment horizontal="center"/>
    </xf>
    <xf numFmtId="0" fontId="22" fillId="4" borderId="8" xfId="0" applyFont="1" applyFill="1" applyBorder="1" applyAlignment="1">
      <alignment wrapText="1"/>
    </xf>
    <xf numFmtId="0" fontId="22" fillId="4" borderId="0" xfId="0" applyFont="1" applyFill="1" applyAlignment="1">
      <alignment wrapText="1"/>
    </xf>
    <xf numFmtId="0" fontId="22" fillId="4" borderId="9" xfId="0" applyFont="1" applyFill="1" applyBorder="1" applyAlignment="1">
      <alignment wrapText="1"/>
    </xf>
    <xf numFmtId="0" fontId="22" fillId="4" borderId="8" xfId="0" applyFont="1" applyFill="1" applyBorder="1" applyAlignment="1">
      <alignment vertical="top" wrapText="1"/>
    </xf>
    <xf numFmtId="0" fontId="0" fillId="4" borderId="9" xfId="0" applyFill="1" applyBorder="1" applyAlignment="1">
      <alignment vertical="top" wrapText="1"/>
    </xf>
    <xf numFmtId="0" fontId="16" fillId="0" borderId="0" xfId="0" applyFont="1" applyAlignment="1">
      <alignment horizontal="center"/>
    </xf>
    <xf numFmtId="0" fontId="0" fillId="0" borderId="0" xfId="0" applyAlignment="1">
      <alignment vertical="top"/>
    </xf>
    <xf numFmtId="0" fontId="0" fillId="0" borderId="0" xfId="0" applyAlignment="1">
      <alignment wrapText="1"/>
    </xf>
    <xf numFmtId="0" fontId="22" fillId="4" borderId="0" xfId="0" applyFont="1" applyFill="1"/>
    <xf numFmtId="0" fontId="22" fillId="0" borderId="8" xfId="0" quotePrefix="1" applyFont="1" applyBorder="1" applyAlignment="1">
      <alignment horizontal="left" wrapText="1"/>
    </xf>
    <xf numFmtId="0" fontId="22" fillId="0" borderId="0" xfId="0" applyFont="1"/>
    <xf numFmtId="0" fontId="22" fillId="0" borderId="9" xfId="0" applyFont="1" applyBorder="1"/>
    <xf numFmtId="0" fontId="16" fillId="0" borderId="13" xfId="0" applyFont="1" applyBorder="1" applyAlignment="1">
      <alignment horizontal="center"/>
    </xf>
    <xf numFmtId="0" fontId="16" fillId="0" borderId="1" xfId="0" applyFont="1" applyBorder="1" applyAlignment="1">
      <alignment horizontal="center"/>
    </xf>
    <xf numFmtId="0" fontId="16" fillId="0" borderId="14" xfId="0" applyFont="1" applyBorder="1" applyAlignment="1">
      <alignment horizontal="center"/>
    </xf>
    <xf numFmtId="0" fontId="0" fillId="0" borderId="13" xfId="0" applyBorder="1" applyAlignment="1">
      <alignment horizontal="center"/>
    </xf>
    <xf numFmtId="0" fontId="0" fillId="0" borderId="1" xfId="0" applyBorder="1" applyAlignment="1">
      <alignment horizontal="center"/>
    </xf>
    <xf numFmtId="0" fontId="0" fillId="0" borderId="14" xfId="0" applyBorder="1" applyAlignment="1">
      <alignment horizontal="center"/>
    </xf>
  </cellXfs>
  <cellStyles count="22">
    <cellStyle name="columnheader1" xfId="20" xr:uid="{996FAAB8-5702-4043-83C9-B4945E60C4BA}"/>
    <cellStyle name="Comma" xfId="2" builtinId="3"/>
    <cellStyle name="Comma 2" xfId="10" xr:uid="{5621D770-AEE6-4A97-BF61-68F07F9F2AC9}"/>
    <cellStyle name="Comma 2 2" xfId="18" xr:uid="{1AA11B0C-D8E9-49E2-8181-9110FB649B97}"/>
    <cellStyle name="Comma 3" xfId="5" xr:uid="{00000000-0005-0000-0000-000001000000}"/>
    <cellStyle name="Comma 4" xfId="15" xr:uid="{78C2502D-1677-49BB-9A8F-647C0638A096}"/>
    <cellStyle name="Currency" xfId="13" builtinId="4"/>
    <cellStyle name="Currency 2" xfId="16" xr:uid="{0402F80D-CC42-4C73-9CEA-2456F9BC2B83}"/>
    <cellStyle name="Hyperlink" xfId="4" builtinId="8"/>
    <cellStyle name="Normal" xfId="0" builtinId="0"/>
    <cellStyle name="Normal 2" xfId="12" xr:uid="{9138BD64-8F90-450C-8EBF-8EFB839EFEC3}"/>
    <cellStyle name="Normal 3" xfId="6" xr:uid="{00000000-0005-0000-0000-000004000000}"/>
    <cellStyle name="Normal 3 2" xfId="19" xr:uid="{69D6ED6C-011A-43F9-A07F-B65B920FC860}"/>
    <cellStyle name="Normal 4" xfId="14" xr:uid="{A39852FB-A145-4895-9757-1E829AFBE415}"/>
    <cellStyle name="Normal 5" xfId="8" xr:uid="{00000000-0005-0000-0000-000005000000}"/>
    <cellStyle name="Normal 5 4" xfId="11" xr:uid="{FFFDAF78-A383-470C-B666-A9E8FB01FA06}"/>
    <cellStyle name="Normal_2006gfa x" xfId="1" xr:uid="{00000000-0005-0000-0000-000006000000}"/>
    <cellStyle name="Percent" xfId="3" builtinId="5"/>
    <cellStyle name="Percent 2" xfId="9" xr:uid="{B0D8A075-695C-4D7A-A41A-88DC66B8A916}"/>
    <cellStyle name="Percent 3" xfId="7" xr:uid="{00000000-0005-0000-0000-000008000000}"/>
    <cellStyle name="Percent 4" xfId="17" xr:uid="{FDE924F4-07D1-4573-AC78-27BB91C6CE07}"/>
    <cellStyle name="sectionhead" xfId="21" xr:uid="{8631FE0D-713C-4043-89A2-B17F015F6CE7}"/>
  </cellStyles>
  <dxfs count="1">
    <dxf>
      <font>
        <b/>
        <i val="0"/>
        <color rgb="FFFF0000"/>
      </font>
      <fill>
        <patternFill>
          <bgColor rgb="FFFFFF00"/>
        </patternFill>
      </fill>
    </dxf>
  </dxfs>
  <tableStyles count="0" defaultTableStyle="TableStyleMedium9" defaultPivotStyle="PivotStyleLight16"/>
  <colors>
    <mruColors>
      <color rgb="FFB7FFD8"/>
      <color rgb="FF0000FF"/>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38100</xdr:colOff>
      <xdr:row>10</xdr:row>
      <xdr:rowOff>66678</xdr:rowOff>
    </xdr:from>
    <xdr:to>
      <xdr:col>2</xdr:col>
      <xdr:colOff>1</xdr:colOff>
      <xdr:row>29</xdr:row>
      <xdr:rowOff>152401</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38100" y="1704978"/>
          <a:ext cx="5191126" cy="3162298"/>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950">
              <a:latin typeface="Arial" panose="020B0604020202020204" pitchFamily="34" charset="0"/>
              <a:cs typeface="Arial" panose="020B0604020202020204" pitchFamily="34" charset="0"/>
            </a:rPr>
            <a:t>This</a:t>
          </a:r>
          <a:r>
            <a:rPr lang="en-US" sz="950" baseline="0">
              <a:latin typeface="Arial" panose="020B0604020202020204" pitchFamily="34" charset="0"/>
              <a:cs typeface="Arial" panose="020B0604020202020204" pitchFamily="34" charset="0"/>
            </a:rPr>
            <a:t> template automatically generates the GASB 75 journal entries (13th period) and certain note disclosures (see below) for the following component units that participate in the Disability Income Plan of North Carolina</a:t>
          </a:r>
          <a:r>
            <a:rPr lang="en-US" sz="950" b="1" baseline="0">
              <a:latin typeface="Arial" panose="020B0604020202020204" pitchFamily="34" charset="0"/>
              <a:cs typeface="Arial" panose="020B0604020202020204" pitchFamily="34" charset="0"/>
            </a:rPr>
            <a:t> </a:t>
          </a:r>
          <a:r>
            <a:rPr lang="en-US" sz="950" baseline="0">
              <a:latin typeface="Arial" panose="020B0604020202020204" pitchFamily="34" charset="0"/>
              <a:cs typeface="Arial" panose="020B0604020202020204" pitchFamily="34" charset="0"/>
            </a:rPr>
            <a:t>(DIPNC): </a:t>
          </a:r>
        </a:p>
        <a:p>
          <a:endParaRPr lang="en-US" sz="800" baseline="0">
            <a:latin typeface="Arial" panose="020B0604020202020204" pitchFamily="34" charset="0"/>
            <a:cs typeface="Arial" panose="020B0604020202020204" pitchFamily="34" charset="0"/>
          </a:endParaRPr>
        </a:p>
        <a:p>
          <a:pPr marL="171450" indent="-171450">
            <a:buFont typeface="Arial" panose="020B0604020202020204" pitchFamily="34" charset="0"/>
            <a:buChar char="•"/>
          </a:pPr>
          <a:r>
            <a:rPr lang="en-US" sz="950" baseline="0">
              <a:latin typeface="Arial" panose="020B0604020202020204" pitchFamily="34" charset="0"/>
              <a:cs typeface="Arial" panose="020B0604020202020204" pitchFamily="34" charset="0"/>
            </a:rPr>
            <a:t>University of North Carolina System (19)</a:t>
          </a:r>
        </a:p>
        <a:p>
          <a:pPr marL="171450" indent="-171450">
            <a:buFont typeface="Arial" panose="020B0604020202020204" pitchFamily="34" charset="0"/>
            <a:buChar char="•"/>
          </a:pPr>
          <a:r>
            <a:rPr lang="en-US" sz="950" baseline="0">
              <a:latin typeface="Arial" panose="020B0604020202020204" pitchFamily="34" charset="0"/>
              <a:cs typeface="Arial" panose="020B0604020202020204" pitchFamily="34" charset="0"/>
            </a:rPr>
            <a:t>Community colleges (58)</a:t>
          </a:r>
        </a:p>
        <a:p>
          <a:pPr marL="171450" indent="-171450">
            <a:buFont typeface="Arial" panose="020B0604020202020204" pitchFamily="34" charset="0"/>
            <a:buChar char="•"/>
          </a:pPr>
          <a:r>
            <a:rPr lang="en-US" sz="950" baseline="0">
              <a:latin typeface="Arial" panose="020B0604020202020204" pitchFamily="34" charset="0"/>
              <a:cs typeface="Arial" panose="020B0604020202020204" pitchFamily="34" charset="0"/>
            </a:rPr>
            <a:t>N.C. Housing Finance Agency</a:t>
          </a:r>
        </a:p>
        <a:p>
          <a:pPr marL="171450" indent="-171450">
            <a:buFont typeface="Arial" panose="020B0604020202020204" pitchFamily="34" charset="0"/>
            <a:buChar char="•"/>
          </a:pPr>
          <a:r>
            <a:rPr lang="en-US" sz="950" baseline="0">
              <a:latin typeface="Arial" panose="020B0604020202020204" pitchFamily="34" charset="0"/>
              <a:cs typeface="Arial" panose="020B0604020202020204" pitchFamily="34" charset="0"/>
            </a:rPr>
            <a:t>State Education Assistance Authority</a:t>
          </a:r>
          <a:endParaRPr lang="en-US" sz="950" baseline="30000">
            <a:latin typeface="Arial" panose="020B0604020202020204" pitchFamily="34" charset="0"/>
            <a:cs typeface="Arial" panose="020B0604020202020204" pitchFamily="34" charset="0"/>
          </a:endParaRPr>
        </a:p>
        <a:p>
          <a:pPr marL="171450" indent="-171450">
            <a:buFont typeface="Arial" panose="020B0604020202020204" pitchFamily="34" charset="0"/>
            <a:buChar char="•"/>
          </a:pPr>
          <a:r>
            <a:rPr lang="en-US" sz="950" baseline="0">
              <a:latin typeface="Arial" panose="020B0604020202020204" pitchFamily="34" charset="0"/>
              <a:cs typeface="Arial" panose="020B0604020202020204" pitchFamily="34" charset="0"/>
            </a:rPr>
            <a:t>State Health Plan</a:t>
          </a:r>
          <a:endParaRPr lang="en-US" sz="950" baseline="30000">
            <a:latin typeface="Arial" panose="020B0604020202020204" pitchFamily="34" charset="0"/>
            <a:cs typeface="Arial" panose="020B0604020202020204" pitchFamily="34" charset="0"/>
          </a:endParaRPr>
        </a:p>
        <a:p>
          <a:pPr marL="171450" indent="-171450">
            <a:buFont typeface="Arial" panose="020B0604020202020204" pitchFamily="34" charset="0"/>
            <a:buChar char="•"/>
          </a:pPr>
          <a:r>
            <a:rPr lang="en-US" sz="950" baseline="0">
              <a:latin typeface="Arial" panose="020B0604020202020204" pitchFamily="34" charset="0"/>
              <a:cs typeface="Arial" panose="020B0604020202020204" pitchFamily="34" charset="0"/>
            </a:rPr>
            <a:t>N.C. State Ports Authority</a:t>
          </a:r>
          <a:endParaRPr lang="en-US" sz="950" baseline="30000">
            <a:latin typeface="Arial" panose="020B0604020202020204" pitchFamily="34" charset="0"/>
            <a:cs typeface="Arial" panose="020B0604020202020204" pitchFamily="34" charset="0"/>
          </a:endParaRPr>
        </a:p>
        <a:p>
          <a:pPr marL="171450" indent="-171450">
            <a:buFont typeface="Arial" panose="020B0604020202020204" pitchFamily="34" charset="0"/>
            <a:buChar char="•"/>
          </a:pPr>
          <a:r>
            <a:rPr lang="en-US" sz="950" baseline="0">
              <a:latin typeface="Arial" panose="020B0604020202020204" pitchFamily="34" charset="0"/>
              <a:cs typeface="Arial" panose="020B0604020202020204" pitchFamily="34" charset="0"/>
            </a:rPr>
            <a:t>N.C. Global TransPark Authority</a:t>
          </a:r>
        </a:p>
        <a:p>
          <a:pPr marL="171450" indent="-171450">
            <a:buFont typeface="Arial" panose="020B0604020202020204" pitchFamily="34" charset="0"/>
            <a:buChar char="•"/>
          </a:pPr>
          <a:endParaRPr lang="en-US" sz="800" baseline="0">
            <a:latin typeface="Arial" panose="020B0604020202020204" pitchFamily="34" charset="0"/>
            <a:cs typeface="Arial" panose="020B0604020202020204" pitchFamily="34" charset="0"/>
          </a:endParaRPr>
        </a:p>
        <a:p>
          <a:pPr marL="0" indent="0">
            <a:buFontTx/>
            <a:buNone/>
          </a:pPr>
          <a:r>
            <a:rPr lang="en-US" sz="950" baseline="0">
              <a:latin typeface="Arial" panose="020B0604020202020204" pitchFamily="34" charset="0"/>
              <a:cs typeface="Arial" panose="020B0604020202020204" pitchFamily="34" charset="0"/>
            </a:rPr>
            <a:t>This template provides note disclosures required by GASB 75, paragraphs 96h(1) thru (5), 96i(1), and 96i(2). It also provides information needed to complete CAFR worksheeet 310.</a:t>
          </a:r>
        </a:p>
        <a:p>
          <a:endParaRPr lang="en-US" sz="950" baseline="0">
            <a:latin typeface="Arial" panose="020B0604020202020204" pitchFamily="34" charset="0"/>
            <a:cs typeface="Arial" panose="020B0604020202020204" pitchFamily="34" charset="0"/>
          </a:endParaRPr>
        </a:p>
        <a:p>
          <a:r>
            <a:rPr lang="en-US" sz="950" baseline="0">
              <a:latin typeface="Arial" panose="020B0604020202020204" pitchFamily="34" charset="0"/>
              <a:cs typeface="Arial" panose="020B0604020202020204" pitchFamily="34" charset="0"/>
            </a:rPr>
            <a:t>The OPEB data in this template was obtained from the Department of State Treasurer. The Office of the State Auditor (OSA) has completed a financial audit of the </a:t>
          </a:r>
          <a:r>
            <a:rPr lang="en-US" sz="950" baseline="0">
              <a:solidFill>
                <a:srgbClr val="FF0000"/>
              </a:solidFill>
              <a:latin typeface="Arial" panose="020B0604020202020204" pitchFamily="34" charset="0"/>
              <a:cs typeface="Arial" panose="020B0604020202020204" pitchFamily="34" charset="0"/>
            </a:rPr>
            <a:t>DIPNC</a:t>
          </a:r>
          <a:r>
            <a:rPr lang="en-US" sz="950" baseline="0">
              <a:latin typeface="Arial" panose="020B0604020202020204" pitchFamily="34" charset="0"/>
              <a:cs typeface="Arial" panose="020B0604020202020204" pitchFamily="34" charset="0"/>
            </a:rPr>
            <a:t> Schedule of Employer Allocations and the </a:t>
          </a:r>
          <a:r>
            <a:rPr lang="en-US" sz="950" baseline="0">
              <a:solidFill>
                <a:srgbClr val="FF0000"/>
              </a:solidFill>
              <a:latin typeface="Arial" panose="020B0604020202020204" pitchFamily="34" charset="0"/>
              <a:cs typeface="Arial" panose="020B0604020202020204" pitchFamily="34" charset="0"/>
            </a:rPr>
            <a:t>DIPNC</a:t>
          </a:r>
          <a:r>
            <a:rPr lang="en-US" sz="950" baseline="0">
              <a:latin typeface="Arial" panose="020B0604020202020204" pitchFamily="34" charset="0"/>
              <a:cs typeface="Arial" panose="020B0604020202020204" pitchFamily="34" charset="0"/>
            </a:rPr>
            <a:t> Schedule of OPEB Amounts by Employer for the year ended June 30, 2024. Component units will report the FY2024 OPEB allocations for DIPNC in their FY2025 financial statements. </a:t>
          </a:r>
          <a:r>
            <a:rPr lang="en-US" sz="950" b="1" u="sng" baseline="0">
              <a:latin typeface="Arial" panose="020B0604020202020204" pitchFamily="34" charset="0"/>
              <a:cs typeface="Arial" panose="020B0604020202020204" pitchFamily="34" charset="0"/>
            </a:rPr>
            <a:t>Each component unit should verify that the OPEB amounts provided by this template agree with the OPEB schedules in OSA's audit report (see link below)</a:t>
          </a:r>
          <a:r>
            <a:rPr lang="en-US" sz="950" b="1" baseline="0">
              <a:latin typeface="Arial" panose="020B0604020202020204" pitchFamily="34" charset="0"/>
              <a:cs typeface="Arial" panose="020B0604020202020204" pitchFamily="34" charset="0"/>
            </a:rPr>
            <a:t>.</a:t>
          </a:r>
        </a:p>
        <a:p>
          <a:endParaRPr lang="en-US" sz="1000" b="1" baseline="0">
            <a:latin typeface="Arial" panose="020B0604020202020204" pitchFamily="34" charset="0"/>
            <a:cs typeface="Arial" panose="020B0604020202020204" pitchFamily="34" charset="0"/>
          </a:endParaRPr>
        </a:p>
        <a:p>
          <a:endParaRPr lang="en-US" sz="900" i="1" baseline="0">
            <a:latin typeface="Arial" panose="020B0604020202020204" pitchFamily="34" charset="0"/>
            <a:cs typeface="Arial" panose="020B0604020202020204" pitchFamily="34" charset="0"/>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files.nc.gov/nc-auditor/documents/2025-04/FIN-2024-3400-OPEB.pdf" TargetMode="External"/><Relationship Id="rId1" Type="http://schemas.openxmlformats.org/officeDocument/2006/relationships/hyperlink" Target="mailto:virginia.sisson@ncosc.gov"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39"/>
  <sheetViews>
    <sheetView showGridLines="0" tabSelected="1" zoomScale="124" zoomScaleNormal="124" workbookViewId="0">
      <selection activeCell="B5" sqref="B5"/>
    </sheetView>
  </sheetViews>
  <sheetFormatPr defaultRowHeight="13.2" x14ac:dyDescent="0.25"/>
  <cols>
    <col min="1" max="1" width="24.6640625" customWidth="1"/>
    <col min="2" max="2" width="53.6640625" customWidth="1"/>
    <col min="3" max="3" width="46.6640625" customWidth="1"/>
  </cols>
  <sheetData>
    <row r="1" spans="1:4" x14ac:dyDescent="0.25">
      <c r="A1" s="52" t="s">
        <v>187</v>
      </c>
      <c r="B1" s="15"/>
      <c r="C1" s="15"/>
      <c r="D1" s="2"/>
    </row>
    <row r="2" spans="1:4" x14ac:dyDescent="0.25">
      <c r="A2" s="52" t="s">
        <v>158</v>
      </c>
      <c r="B2" s="15"/>
    </row>
    <row r="3" spans="1:4" x14ac:dyDescent="0.25">
      <c r="A3" s="51" t="s">
        <v>527</v>
      </c>
      <c r="B3" s="15"/>
      <c r="C3" s="15"/>
    </row>
    <row r="4" spans="1:4" ht="14.1" customHeight="1" x14ac:dyDescent="0.3">
      <c r="A4" s="51"/>
      <c r="B4" s="15"/>
      <c r="C4" s="54"/>
    </row>
    <row r="5" spans="1:4" ht="13.8" x14ac:dyDescent="0.3">
      <c r="A5" s="55" t="s">
        <v>136</v>
      </c>
      <c r="B5" s="87" t="s">
        <v>37</v>
      </c>
      <c r="C5" s="137" t="s">
        <v>172</v>
      </c>
    </row>
    <row r="6" spans="1:4" ht="12.75" customHeight="1" x14ac:dyDescent="0.25">
      <c r="A6" s="15"/>
      <c r="B6" s="15"/>
      <c r="C6" s="56"/>
    </row>
    <row r="7" spans="1:4" ht="12.75" customHeight="1" x14ac:dyDescent="0.3">
      <c r="A7" s="253" t="s">
        <v>528</v>
      </c>
      <c r="B7" s="253"/>
      <c r="C7" s="138"/>
    </row>
    <row r="8" spans="1:4" ht="12.75" customHeight="1" x14ac:dyDescent="0.25">
      <c r="A8" s="15"/>
      <c r="B8" s="15"/>
      <c r="C8" s="56"/>
    </row>
    <row r="9" spans="1:4" x14ac:dyDescent="0.25">
      <c r="A9" s="15" t="s">
        <v>188</v>
      </c>
      <c r="B9" s="15">
        <f>VLOOKUP(B5,Data!A:B,2,FALSE)</f>
        <v>20100</v>
      </c>
      <c r="C9" s="57"/>
    </row>
    <row r="10" spans="1:4" ht="13.8" hidden="1" x14ac:dyDescent="0.3">
      <c r="A10" s="91" t="s">
        <v>153</v>
      </c>
      <c r="B10" s="15">
        <f>VLOOKUP(B5,Data!A:X,24,FALSE)</f>
        <v>1</v>
      </c>
      <c r="C10" s="136" t="s">
        <v>171</v>
      </c>
    </row>
    <row r="11" spans="1:4" x14ac:dyDescent="0.25">
      <c r="A11" s="15"/>
      <c r="B11" s="15"/>
      <c r="C11" s="134"/>
    </row>
    <row r="12" spans="1:4" x14ac:dyDescent="0.25">
      <c r="A12" s="15"/>
      <c r="B12" s="15"/>
      <c r="C12" s="15"/>
    </row>
    <row r="13" spans="1:4" x14ac:dyDescent="0.25">
      <c r="A13" s="15"/>
      <c r="B13" s="15"/>
      <c r="C13" s="15"/>
    </row>
    <row r="14" spans="1:4" x14ac:dyDescent="0.25">
      <c r="A14" s="15"/>
      <c r="B14" s="15"/>
      <c r="C14" s="15"/>
    </row>
    <row r="15" spans="1:4" x14ac:dyDescent="0.25">
      <c r="A15" s="15"/>
      <c r="B15" s="15"/>
      <c r="C15" s="15"/>
    </row>
    <row r="16" spans="1:4" x14ac:dyDescent="0.25">
      <c r="A16" s="15"/>
      <c r="B16" s="15"/>
      <c r="C16" s="15"/>
    </row>
    <row r="17" spans="1:3" x14ac:dyDescent="0.25">
      <c r="A17" s="15"/>
      <c r="B17" s="15"/>
      <c r="C17" s="15"/>
    </row>
    <row r="18" spans="1:3" x14ac:dyDescent="0.25">
      <c r="A18" s="15"/>
      <c r="B18" s="15"/>
      <c r="C18" s="15"/>
    </row>
    <row r="19" spans="1:3" x14ac:dyDescent="0.25">
      <c r="A19" s="15"/>
      <c r="B19" s="15"/>
      <c r="C19" s="15"/>
    </row>
    <row r="20" spans="1:3" x14ac:dyDescent="0.25">
      <c r="A20" s="15"/>
      <c r="B20" s="15"/>
      <c r="C20" s="15"/>
    </row>
    <row r="21" spans="1:3" x14ac:dyDescent="0.25">
      <c r="A21" s="15"/>
      <c r="B21" s="15"/>
      <c r="C21" s="15"/>
    </row>
    <row r="22" spans="1:3" x14ac:dyDescent="0.25">
      <c r="A22" s="15"/>
      <c r="B22" s="15"/>
      <c r="C22" s="15"/>
    </row>
    <row r="23" spans="1:3" x14ac:dyDescent="0.25">
      <c r="A23" s="15"/>
      <c r="B23" s="15"/>
      <c r="C23" s="15"/>
    </row>
    <row r="24" spans="1:3" x14ac:dyDescent="0.25">
      <c r="A24" s="15"/>
      <c r="B24" s="15"/>
      <c r="C24" s="15"/>
    </row>
    <row r="25" spans="1:3" x14ac:dyDescent="0.25">
      <c r="A25" s="15"/>
      <c r="B25" s="15"/>
      <c r="C25" s="15"/>
    </row>
    <row r="26" spans="1:3" x14ac:dyDescent="0.25">
      <c r="A26" s="15"/>
      <c r="B26" s="15"/>
      <c r="C26" s="15"/>
    </row>
    <row r="27" spans="1:3" x14ac:dyDescent="0.25">
      <c r="A27" s="15"/>
      <c r="B27" s="15"/>
      <c r="C27" s="15"/>
    </row>
    <row r="28" spans="1:3" x14ac:dyDescent="0.25">
      <c r="A28" s="15"/>
      <c r="B28" s="15"/>
      <c r="C28" s="15"/>
    </row>
    <row r="29" spans="1:3" x14ac:dyDescent="0.25">
      <c r="A29" s="15"/>
      <c r="B29" s="15"/>
      <c r="C29" s="15"/>
    </row>
    <row r="30" spans="1:3" x14ac:dyDescent="0.25">
      <c r="A30" s="15"/>
      <c r="B30" s="15"/>
      <c r="C30" s="15"/>
    </row>
    <row r="31" spans="1:3" x14ac:dyDescent="0.25">
      <c r="A31" s="15"/>
      <c r="B31" s="15"/>
      <c r="C31" s="15"/>
    </row>
    <row r="32" spans="1:3" ht="12.75" customHeight="1" x14ac:dyDescent="0.25">
      <c r="A32" s="132" t="s">
        <v>162</v>
      </c>
      <c r="B32" s="15"/>
      <c r="C32" s="15"/>
    </row>
    <row r="33" spans="1:3" ht="14.1" customHeight="1" x14ac:dyDescent="0.25">
      <c r="A33" s="133" t="s">
        <v>524</v>
      </c>
      <c r="B33" s="15"/>
      <c r="C33" s="156"/>
    </row>
    <row r="34" spans="1:3" ht="12.75" customHeight="1" x14ac:dyDescent="0.25">
      <c r="A34" s="203" t="s">
        <v>529</v>
      </c>
      <c r="C34" s="124"/>
    </row>
    <row r="35" spans="1:3" ht="15.75" customHeight="1" x14ac:dyDescent="0.25">
      <c r="A35" s="203"/>
      <c r="B35" s="15"/>
      <c r="C35" s="15"/>
    </row>
    <row r="36" spans="1:3" ht="12" customHeight="1" x14ac:dyDescent="0.25">
      <c r="A36" s="203"/>
      <c r="B36" s="15"/>
      <c r="C36" s="15"/>
    </row>
    <row r="37" spans="1:3" ht="12" customHeight="1" x14ac:dyDescent="0.25">
      <c r="A37" s="252" t="s">
        <v>182</v>
      </c>
      <c r="B37" s="252"/>
      <c r="C37" s="15"/>
    </row>
    <row r="38" spans="1:3" ht="12" customHeight="1" x14ac:dyDescent="0.25">
      <c r="A38" s="252" t="s">
        <v>530</v>
      </c>
      <c r="B38" s="252"/>
      <c r="C38" s="15"/>
    </row>
    <row r="39" spans="1:3" x14ac:dyDescent="0.25">
      <c r="A39" s="250" t="s">
        <v>531</v>
      </c>
      <c r="B39" s="251"/>
      <c r="C39" s="15"/>
    </row>
  </sheetData>
  <sheetProtection algorithmName="SHA-512" hashValue="mn2duATA/q8yem7Wdb6MRVPtpyqjC3Q+be93fpRyKopr5JBpmc6w5VbrbVoV+vPXPp+GEoV9SOWoloIwiMxF/A==" saltValue="7O1u42YIk4i/udFZ6n5J0A==" spinCount="100000" sheet="1" objects="1" scenarios="1"/>
  <mergeCells count="4">
    <mergeCell ref="A39:B39"/>
    <mergeCell ref="A37:B37"/>
    <mergeCell ref="A38:B38"/>
    <mergeCell ref="A7:B7"/>
  </mergeCells>
  <hyperlinks>
    <hyperlink ref="A39" r:id="rId1" xr:uid="{015545DF-DEBF-49BB-A70C-A2BEC8AAD971}"/>
    <hyperlink ref="A34" r:id="rId2" xr:uid="{459A0C70-1769-4DAB-A4B4-41C3D932B599}"/>
  </hyperlinks>
  <pageMargins left="0.7" right="0.7" top="0.75" bottom="0.75" header="0.3" footer="0.3"/>
  <pageSetup orientation="portrait" r:id="rId3"/>
  <drawing r:id="rId4"/>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Data!$A$4:$A$88</xm:f>
          </x14:formula1>
          <xm:sqref>B5</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AFBA6D-83F6-44AF-8354-AF5AD47D4E64}">
  <dimension ref="A1:D85"/>
  <sheetViews>
    <sheetView workbookViewId="0">
      <selection activeCell="B46" sqref="B46"/>
    </sheetView>
  </sheetViews>
  <sheetFormatPr defaultRowHeight="13.2" x14ac:dyDescent="0.25"/>
  <cols>
    <col min="2" max="2" width="51.5546875" bestFit="1" customWidth="1"/>
    <col min="3" max="3" width="11" style="8" customWidth="1"/>
    <col min="4" max="4" width="14.5546875" style="8" customWidth="1"/>
  </cols>
  <sheetData>
    <row r="1" spans="1:4" ht="26.4" x14ac:dyDescent="0.25">
      <c r="C1" s="249" t="s">
        <v>566</v>
      </c>
      <c r="D1" s="249" t="s">
        <v>567</v>
      </c>
    </row>
    <row r="2" spans="1:4" x14ac:dyDescent="0.25">
      <c r="A2">
        <v>20100</v>
      </c>
      <c r="B2" t="s">
        <v>37</v>
      </c>
      <c r="C2" s="8">
        <f>VLOOKUP(A2,'75 - Summary Exhibit'!$A$3:$N$300,3,0)</f>
        <v>-390532</v>
      </c>
      <c r="D2" s="8">
        <f>VLOOKUP(A2,'75 - Summary Exhibit'!$A$3:$O$314,15,0)</f>
        <v>658769</v>
      </c>
    </row>
    <row r="3" spans="1:4" x14ac:dyDescent="0.25">
      <c r="A3">
        <v>20300</v>
      </c>
      <c r="B3" t="s">
        <v>39</v>
      </c>
      <c r="C3" s="8">
        <f>VLOOKUP(A3,'75 - Summary Exhibit'!$A$3:$N$300,3,0)</f>
        <v>-789546</v>
      </c>
      <c r="D3" s="8">
        <f>VLOOKUP(A3,'75 - Summary Exhibit'!$A$3:$O$314,15,0)</f>
        <v>1304533</v>
      </c>
    </row>
    <row r="4" spans="1:4" x14ac:dyDescent="0.25">
      <c r="A4">
        <v>20400</v>
      </c>
      <c r="B4" t="s">
        <v>40</v>
      </c>
      <c r="C4" s="8">
        <f>VLOOKUP(A4,'75 - Summary Exhibit'!$A$3:$N$300,3,0)</f>
        <v>-42053</v>
      </c>
      <c r="D4" s="8">
        <f>VLOOKUP(A4,'75 - Summary Exhibit'!$A$3:$O$314,15,0)</f>
        <v>68049</v>
      </c>
    </row>
    <row r="5" spans="1:4" x14ac:dyDescent="0.25">
      <c r="A5">
        <v>20600</v>
      </c>
      <c r="B5" t="s">
        <v>41</v>
      </c>
      <c r="C5" s="8">
        <f>VLOOKUP(A5,'75 - Summary Exhibit'!$A$3:$N$300,3,0)</f>
        <v>-97840</v>
      </c>
      <c r="D5" s="8">
        <f>VLOOKUP(A5,'75 - Summary Exhibit'!$A$3:$O$314,15,0)</f>
        <v>159186</v>
      </c>
    </row>
    <row r="6" spans="1:4" x14ac:dyDescent="0.25">
      <c r="A6">
        <v>20800</v>
      </c>
      <c r="B6" t="s">
        <v>43</v>
      </c>
      <c r="C6" s="8">
        <f>VLOOKUP(A6,'75 - Summary Exhibit'!$A$3:$N$300,3,0)</f>
        <v>-133874</v>
      </c>
      <c r="D6" s="8">
        <f>VLOOKUP(A6,'75 - Summary Exhibit'!$A$3:$O$314,15,0)</f>
        <v>216355</v>
      </c>
    </row>
    <row r="7" spans="1:4" x14ac:dyDescent="0.25">
      <c r="A7">
        <v>10950</v>
      </c>
      <c r="B7" t="s">
        <v>36</v>
      </c>
      <c r="C7" s="8">
        <f>VLOOKUP(A7,'75 - Summary Exhibit'!$A$3:$N$300,3,0)</f>
        <v>-37562</v>
      </c>
      <c r="D7" s="8">
        <f>VLOOKUP(A7,'75 - Summary Exhibit'!$A$3:$O$314,15,0)</f>
        <v>67886</v>
      </c>
    </row>
    <row r="8" spans="1:4" x14ac:dyDescent="0.25">
      <c r="A8">
        <v>20200</v>
      </c>
      <c r="B8" t="s">
        <v>38</v>
      </c>
      <c r="C8" s="8">
        <f>VLOOKUP(A8,'75 - Summary Exhibit'!$A$3:$N$300,3,0)</f>
        <v>-52873</v>
      </c>
      <c r="D8" s="8">
        <f>VLOOKUP(A8,'75 - Summary Exhibit'!$A$3:$O$314,15,0)</f>
        <v>86101</v>
      </c>
    </row>
    <row r="9" spans="1:4" x14ac:dyDescent="0.25">
      <c r="A9">
        <v>21300</v>
      </c>
      <c r="B9" t="s">
        <v>46</v>
      </c>
      <c r="C9" s="8">
        <f>VLOOKUP(A9,'75 - Summary Exhibit'!$A$3:$N$300,3,0)</f>
        <v>-1343713</v>
      </c>
      <c r="D9" s="8">
        <f>VLOOKUP(A9,'75 - Summary Exhibit'!$A$3:$O$314,15,0)</f>
        <v>2267925</v>
      </c>
    </row>
    <row r="10" spans="1:4" x14ac:dyDescent="0.25">
      <c r="A10">
        <v>20700</v>
      </c>
      <c r="B10" t="s">
        <v>42</v>
      </c>
      <c r="C10" s="8">
        <f>VLOOKUP(A10,'75 - Summary Exhibit'!$A$3:$N$300,3,0)</f>
        <v>-204421</v>
      </c>
      <c r="D10" s="8">
        <f>VLOOKUP(A10,'75 - Summary Exhibit'!$A$3:$O$314,15,0)</f>
        <v>334776</v>
      </c>
    </row>
    <row r="11" spans="1:4" x14ac:dyDescent="0.25">
      <c r="A11">
        <v>21200</v>
      </c>
      <c r="B11" t="s">
        <v>45</v>
      </c>
      <c r="C11" s="8">
        <f>VLOOKUP(A11,'75 - Summary Exhibit'!$A$3:$N$300,3,0)</f>
        <v>-100072</v>
      </c>
      <c r="D11" s="8">
        <f>VLOOKUP(A11,'75 - Summary Exhibit'!$A$3:$O$314,15,0)</f>
        <v>167990</v>
      </c>
    </row>
    <row r="12" spans="1:4" x14ac:dyDescent="0.25">
      <c r="A12">
        <v>21550</v>
      </c>
      <c r="B12" t="s">
        <v>48</v>
      </c>
      <c r="C12" s="8">
        <f>VLOOKUP(A12,'75 - Summary Exhibit'!$A$3:$N$300,3,0)</f>
        <v>-1487738</v>
      </c>
      <c r="D12" s="8">
        <f>VLOOKUP(A12,'75 - Summary Exhibit'!$A$3:$O$314,15,0)</f>
        <v>2775914</v>
      </c>
    </row>
    <row r="13" spans="1:4" x14ac:dyDescent="0.25">
      <c r="A13">
        <v>21520</v>
      </c>
      <c r="B13" t="s">
        <v>47</v>
      </c>
      <c r="C13" s="8">
        <f>VLOOKUP(A13,'75 - Summary Exhibit'!$A$3:$N$300,3,0)</f>
        <v>-2598342</v>
      </c>
      <c r="D13" s="8">
        <f>VLOOKUP(A13,'75 - Summary Exhibit'!$A$3:$O$314,15,0)</f>
        <v>4507654</v>
      </c>
    </row>
    <row r="14" spans="1:4" x14ac:dyDescent="0.25">
      <c r="A14">
        <v>23000</v>
      </c>
      <c r="B14" t="s">
        <v>51</v>
      </c>
      <c r="C14" s="8">
        <f>VLOOKUP(A14,'75 - Summary Exhibit'!$A$3:$N$300,3,0)</f>
        <v>-81999</v>
      </c>
      <c r="D14" s="8">
        <f>VLOOKUP(A14,'75 - Summary Exhibit'!$A$3:$O$314,15,0)</f>
        <v>136663</v>
      </c>
    </row>
    <row r="15" spans="1:4" x14ac:dyDescent="0.25">
      <c r="A15">
        <v>23100</v>
      </c>
      <c r="B15" t="s">
        <v>52</v>
      </c>
      <c r="C15" s="8">
        <f>VLOOKUP(A15,'75 - Summary Exhibit'!$A$3:$N$300,3,0)</f>
        <v>-535650</v>
      </c>
      <c r="D15" s="8">
        <f>VLOOKUP(A15,'75 - Summary Exhibit'!$A$3:$O$314,15,0)</f>
        <v>929829</v>
      </c>
    </row>
    <row r="16" spans="1:4" x14ac:dyDescent="0.25">
      <c r="A16">
        <v>20900</v>
      </c>
      <c r="B16" t="s">
        <v>44</v>
      </c>
      <c r="C16" s="8">
        <f>VLOOKUP(A16,'75 - Summary Exhibit'!$A$3:$N$300,3,0)</f>
        <v>-301431</v>
      </c>
      <c r="D16" s="8">
        <f>VLOOKUP(A16,'75 - Summary Exhibit'!$A$3:$O$314,15,0)</f>
        <v>505548</v>
      </c>
    </row>
    <row r="17" spans="1:4" x14ac:dyDescent="0.25">
      <c r="A17">
        <v>23200</v>
      </c>
      <c r="B17" t="s">
        <v>53</v>
      </c>
      <c r="C17" s="8">
        <f>VLOOKUP(A17,'75 - Summary Exhibit'!$A$3:$N$300,3,0)</f>
        <v>-309439</v>
      </c>
      <c r="D17" s="8">
        <f>VLOOKUP(A17,'75 - Summary Exhibit'!$A$3:$O$314,15,0)</f>
        <v>556295</v>
      </c>
    </row>
    <row r="18" spans="1:4" x14ac:dyDescent="0.25">
      <c r="A18">
        <v>21800</v>
      </c>
      <c r="B18" t="s">
        <v>49</v>
      </c>
      <c r="C18" s="8">
        <f>VLOOKUP(A18,'75 - Summary Exhibit'!$A$3:$N$300,3,0)</f>
        <v>-197823</v>
      </c>
      <c r="D18" s="8">
        <f>VLOOKUP(A18,'75 - Summary Exhibit'!$A$3:$O$314,15,0)</f>
        <v>335241</v>
      </c>
    </row>
    <row r="19" spans="1:4" x14ac:dyDescent="0.25">
      <c r="A19">
        <v>21900</v>
      </c>
      <c r="B19" t="s">
        <v>50</v>
      </c>
      <c r="C19" s="8">
        <f>VLOOKUP(A19,'75 - Summary Exhibit'!$A$3:$N$300,3,0)</f>
        <v>-80369</v>
      </c>
      <c r="D19" s="8">
        <f>VLOOKUP(A19,'75 - Summary Exhibit'!$A$3:$O$314,15,0)</f>
        <v>129885</v>
      </c>
    </row>
    <row r="20" spans="1:4" x14ac:dyDescent="0.25">
      <c r="A20">
        <v>30105</v>
      </c>
      <c r="B20" t="s">
        <v>54</v>
      </c>
      <c r="C20" s="8">
        <f>VLOOKUP(A20,'75 - Summary Exhibit'!$A$3:$N$300,3,0)</f>
        <v>-23341</v>
      </c>
      <c r="D20" s="8">
        <f>VLOOKUP(A20,'75 - Summary Exhibit'!$A$3:$O$314,15,0)</f>
        <v>37722</v>
      </c>
    </row>
    <row r="21" spans="1:4" x14ac:dyDescent="0.25">
      <c r="A21">
        <v>31105</v>
      </c>
      <c r="B21" t="s">
        <v>59</v>
      </c>
      <c r="C21" s="8">
        <f>VLOOKUP(A21,'75 - Summary Exhibit'!$A$3:$N$300,3,0)</f>
        <v>-44269</v>
      </c>
      <c r="D21" s="8">
        <f>VLOOKUP(A21,'75 - Summary Exhibit'!$A$3:$O$314,15,0)</f>
        <v>74267</v>
      </c>
    </row>
    <row r="22" spans="1:4" x14ac:dyDescent="0.25">
      <c r="A22">
        <v>30705</v>
      </c>
      <c r="B22" t="s">
        <v>56</v>
      </c>
      <c r="C22" s="8">
        <f>VLOOKUP(A22,'75 - Summary Exhibit'!$A$3:$N$300,3,0)</f>
        <v>-15238</v>
      </c>
      <c r="D22" s="8">
        <f>VLOOKUP(A22,'75 - Summary Exhibit'!$A$3:$O$314,15,0)</f>
        <v>26104</v>
      </c>
    </row>
    <row r="23" spans="1:4" x14ac:dyDescent="0.25">
      <c r="A23">
        <v>30905</v>
      </c>
      <c r="B23" t="s">
        <v>57</v>
      </c>
      <c r="C23" s="8">
        <f>VLOOKUP(A23,'75 - Summary Exhibit'!$A$3:$N$300,3,0)</f>
        <v>-8867</v>
      </c>
      <c r="D23" s="8">
        <f>VLOOKUP(A23,'75 - Summary Exhibit'!$A$3:$O$314,15,0)</f>
        <v>14330</v>
      </c>
    </row>
    <row r="24" spans="1:4" x14ac:dyDescent="0.25">
      <c r="A24">
        <v>34505</v>
      </c>
      <c r="B24" t="s">
        <v>78</v>
      </c>
      <c r="C24" s="8">
        <f>VLOOKUP(A24,'75 - Summary Exhibit'!$A$3:$N$300,3,0)</f>
        <v>-22521</v>
      </c>
      <c r="D24" s="8">
        <f>VLOOKUP(A24,'75 - Summary Exhibit'!$A$3:$O$314,15,0)</f>
        <v>40575</v>
      </c>
    </row>
    <row r="25" spans="1:4" x14ac:dyDescent="0.25">
      <c r="A25">
        <v>31005</v>
      </c>
      <c r="B25" t="s">
        <v>58</v>
      </c>
      <c r="C25" s="8">
        <f>VLOOKUP(A25,'75 - Summary Exhibit'!$A$3:$N$300,3,0)</f>
        <v>-14026</v>
      </c>
      <c r="D25" s="8">
        <f>VLOOKUP(A25,'75 - Summary Exhibit'!$A$3:$O$314,15,0)</f>
        <v>23277</v>
      </c>
    </row>
    <row r="26" spans="1:4" x14ac:dyDescent="0.25">
      <c r="A26">
        <v>31405</v>
      </c>
      <c r="B26" t="s">
        <v>61</v>
      </c>
      <c r="C26" s="8">
        <f>VLOOKUP(A26,'75 - Summary Exhibit'!$A$3:$N$300,3,0)</f>
        <v>-27697</v>
      </c>
      <c r="D26" s="8">
        <f>VLOOKUP(A26,'75 - Summary Exhibit'!$A$3:$O$314,15,0)</f>
        <v>45015</v>
      </c>
    </row>
    <row r="27" spans="1:4" x14ac:dyDescent="0.25">
      <c r="A27">
        <v>36505</v>
      </c>
      <c r="B27" t="s">
        <v>92</v>
      </c>
      <c r="C27" s="8">
        <f>VLOOKUP(A27,'75 - Summary Exhibit'!$A$3:$N$300,3,0)</f>
        <v>-60976</v>
      </c>
      <c r="D27" s="8">
        <f>VLOOKUP(A27,'75 - Summary Exhibit'!$A$3:$O$314,15,0)</f>
        <v>100167</v>
      </c>
    </row>
    <row r="28" spans="1:4" x14ac:dyDescent="0.25">
      <c r="A28">
        <v>31605</v>
      </c>
      <c r="B28" t="s">
        <v>62</v>
      </c>
      <c r="C28" s="8">
        <f>VLOOKUP(A28,'75 - Summary Exhibit'!$A$3:$N$300,3,0)</f>
        <v>-14761</v>
      </c>
      <c r="D28" s="8">
        <f>VLOOKUP(A28,'75 - Summary Exhibit'!$A$3:$O$314,15,0)</f>
        <v>24034</v>
      </c>
    </row>
    <row r="29" spans="1:4" x14ac:dyDescent="0.25">
      <c r="A29">
        <v>31805</v>
      </c>
      <c r="B29" t="s">
        <v>63</v>
      </c>
      <c r="C29" s="8">
        <f>VLOOKUP(A29,'75 - Summary Exhibit'!$A$3:$N$300,3,0)</f>
        <v>-31583</v>
      </c>
      <c r="D29" s="8">
        <f>VLOOKUP(A29,'75 - Summary Exhibit'!$A$3:$O$314,15,0)</f>
        <v>52272</v>
      </c>
    </row>
    <row r="30" spans="1:4" x14ac:dyDescent="0.25">
      <c r="A30">
        <v>35305</v>
      </c>
      <c r="B30" t="s">
        <v>83</v>
      </c>
      <c r="C30" s="8">
        <f>VLOOKUP(A30,'75 - Summary Exhibit'!$A$3:$N$300,3,0)</f>
        <v>-40749</v>
      </c>
      <c r="D30" s="8">
        <f>VLOOKUP(A30,'75 - Summary Exhibit'!$A$3:$O$314,15,0)</f>
        <v>70557</v>
      </c>
    </row>
    <row r="31" spans="1:4" x14ac:dyDescent="0.25">
      <c r="A31">
        <v>36005</v>
      </c>
      <c r="B31" t="s">
        <v>87</v>
      </c>
      <c r="C31" s="8">
        <f>VLOOKUP(A31,'75 - Summary Exhibit'!$A$3:$N$300,3,0)</f>
        <v>-124039</v>
      </c>
      <c r="D31" s="8">
        <f>VLOOKUP(A31,'75 - Summary Exhibit'!$A$3:$O$314,15,0)</f>
        <v>201269</v>
      </c>
    </row>
    <row r="32" spans="1:4" x14ac:dyDescent="0.25">
      <c r="A32">
        <v>32305</v>
      </c>
      <c r="B32" t="s">
        <v>65</v>
      </c>
      <c r="C32" s="8">
        <f>VLOOKUP(A32,'75 - Summary Exhibit'!$A$3:$N$300,3,0)</f>
        <v>-20240</v>
      </c>
      <c r="D32" s="8">
        <f>VLOOKUP(A32,'75 - Summary Exhibit'!$A$3:$O$314,15,0)</f>
        <v>35363</v>
      </c>
    </row>
    <row r="33" spans="1:4" x14ac:dyDescent="0.25">
      <c r="A33">
        <v>36705</v>
      </c>
      <c r="B33" t="s">
        <v>93</v>
      </c>
      <c r="C33" s="8">
        <f>VLOOKUP(A33,'75 - Summary Exhibit'!$A$3:$N$300,3,0)</f>
        <v>-25906</v>
      </c>
      <c r="D33" s="8">
        <f>VLOOKUP(A33,'75 - Summary Exhibit'!$A$3:$O$314,15,0)</f>
        <v>44326</v>
      </c>
    </row>
    <row r="34" spans="1:4" x14ac:dyDescent="0.25">
      <c r="A34">
        <v>37005</v>
      </c>
      <c r="B34" t="s">
        <v>95</v>
      </c>
      <c r="C34" s="8">
        <f>VLOOKUP(A34,'75 - Summary Exhibit'!$A$3:$N$300,3,0)</f>
        <v>-17154</v>
      </c>
      <c r="D34" s="8">
        <f>VLOOKUP(A34,'75 - Summary Exhibit'!$A$3:$O$314,15,0)</f>
        <v>28821</v>
      </c>
    </row>
    <row r="35" spans="1:4" x14ac:dyDescent="0.25">
      <c r="A35">
        <v>32505</v>
      </c>
      <c r="B35" t="s">
        <v>67</v>
      </c>
      <c r="C35" s="8">
        <f>VLOOKUP(A35,'75 - Summary Exhibit'!$A$3:$N$300,3,0)</f>
        <v>-22307</v>
      </c>
      <c r="D35" s="8">
        <f>VLOOKUP(A35,'75 - Summary Exhibit'!$A$3:$O$314,15,0)</f>
        <v>36942</v>
      </c>
    </row>
    <row r="36" spans="1:4" x14ac:dyDescent="0.25">
      <c r="A36">
        <v>32905</v>
      </c>
      <c r="B36" t="s">
        <v>69</v>
      </c>
      <c r="C36" s="8">
        <f>VLOOKUP(A36,'75 - Summary Exhibit'!$A$3:$N$300,3,0)</f>
        <v>-24925</v>
      </c>
      <c r="D36" s="8">
        <f>VLOOKUP(A36,'75 - Summary Exhibit'!$A$3:$O$314,15,0)</f>
        <v>40826</v>
      </c>
    </row>
    <row r="37" spans="1:4" x14ac:dyDescent="0.25">
      <c r="A37">
        <v>33205</v>
      </c>
      <c r="B37" t="s">
        <v>71</v>
      </c>
      <c r="C37" s="8">
        <f>VLOOKUP(A37,'75 - Summary Exhibit'!$A$3:$N$300,3,0)</f>
        <v>-39379</v>
      </c>
      <c r="D37" s="8">
        <f>VLOOKUP(A37,'75 - Summary Exhibit'!$A$3:$O$314,15,0)</f>
        <v>65543</v>
      </c>
    </row>
    <row r="38" spans="1:4" x14ac:dyDescent="0.25">
      <c r="A38">
        <v>33305</v>
      </c>
      <c r="B38" t="s">
        <v>72</v>
      </c>
      <c r="C38" s="8">
        <f>VLOOKUP(A38,'75 - Summary Exhibit'!$A$3:$N$300,3,0)</f>
        <v>-13256</v>
      </c>
      <c r="D38" s="8">
        <f>VLOOKUP(A38,'75 - Summary Exhibit'!$A$3:$O$314,15,0)</f>
        <v>21581</v>
      </c>
    </row>
    <row r="39" spans="1:4" x14ac:dyDescent="0.25">
      <c r="A39">
        <v>32605</v>
      </c>
      <c r="B39" t="s">
        <v>68</v>
      </c>
      <c r="C39" s="8">
        <f>VLOOKUP(A39,'75 - Summary Exhibit'!$A$3:$N$300,3,0)</f>
        <v>-82802</v>
      </c>
      <c r="D39" s="8">
        <f>VLOOKUP(A39,'75 - Summary Exhibit'!$A$3:$O$314,15,0)</f>
        <v>142159</v>
      </c>
    </row>
    <row r="40" spans="1:4" x14ac:dyDescent="0.25">
      <c r="A40">
        <v>33405</v>
      </c>
      <c r="B40" t="s">
        <v>73</v>
      </c>
      <c r="C40" s="8">
        <f>VLOOKUP(A40,'75 - Summary Exhibit'!$A$3:$N$300,3,0)</f>
        <v>-58918</v>
      </c>
      <c r="D40" s="8">
        <f>VLOOKUP(A40,'75 - Summary Exhibit'!$A$3:$O$314,15,0)</f>
        <v>100955</v>
      </c>
    </row>
    <row r="41" spans="1:4" x14ac:dyDescent="0.25">
      <c r="A41">
        <v>33605</v>
      </c>
      <c r="B41" t="s">
        <v>74</v>
      </c>
      <c r="C41" s="8">
        <f>VLOOKUP(A41,'75 - Summary Exhibit'!$A$3:$N$300,3,0)</f>
        <v>-37918</v>
      </c>
      <c r="D41" s="8">
        <f>VLOOKUP(A41,'75 - Summary Exhibit'!$A$3:$O$314,15,0)</f>
        <v>61279</v>
      </c>
    </row>
    <row r="42" spans="1:4" x14ac:dyDescent="0.25">
      <c r="A42">
        <v>34105</v>
      </c>
      <c r="B42" t="s">
        <v>75</v>
      </c>
      <c r="C42" s="8">
        <f>VLOOKUP(A42,'75 - Summary Exhibit'!$A$3:$N$300,3,0)</f>
        <v>-60818</v>
      </c>
      <c r="D42" s="8">
        <f>VLOOKUP(A42,'75 - Summary Exhibit'!$A$3:$O$314,15,0)</f>
        <v>98288</v>
      </c>
    </row>
    <row r="43" spans="1:4" x14ac:dyDescent="0.25">
      <c r="A43">
        <v>34205</v>
      </c>
      <c r="B43" t="s">
        <v>76</v>
      </c>
      <c r="C43" s="8">
        <f>VLOOKUP(A43,'75 - Summary Exhibit'!$A$3:$N$300,3,0)</f>
        <v>-8133</v>
      </c>
      <c r="D43" s="8">
        <f>VLOOKUP(A43,'75 - Summary Exhibit'!$A$3:$O$314,15,0)</f>
        <v>14306</v>
      </c>
    </row>
    <row r="44" spans="1:4" x14ac:dyDescent="0.25">
      <c r="A44">
        <v>34405</v>
      </c>
      <c r="B44" t="s">
        <v>77</v>
      </c>
      <c r="C44" s="8">
        <f>VLOOKUP(A44,'75 - Summary Exhibit'!$A$3:$N$300,3,0)</f>
        <v>-12729</v>
      </c>
      <c r="D44" s="8">
        <f>VLOOKUP(A44,'75 - Summary Exhibit'!$A$3:$O$314,15,0)</f>
        <v>21138</v>
      </c>
    </row>
    <row r="45" spans="1:4" x14ac:dyDescent="0.25">
      <c r="A45">
        <v>38105</v>
      </c>
      <c r="B45" t="s">
        <v>103</v>
      </c>
      <c r="C45" s="8">
        <f>VLOOKUP(A45,'75 - Summary Exhibit'!$A$3:$N$300,3,0)</f>
        <v>-15544</v>
      </c>
      <c r="D45" s="8">
        <f>VLOOKUP(A45,'75 - Summary Exhibit'!$A$3:$O$314,15,0)</f>
        <v>25121</v>
      </c>
    </row>
    <row r="46" spans="1:4" x14ac:dyDescent="0.25">
      <c r="A46">
        <v>33105</v>
      </c>
      <c r="B46" t="s">
        <v>70</v>
      </c>
      <c r="C46" s="8">
        <f>VLOOKUP(A46,'75 - Summary Exhibit'!$A$3:$N$300,3,0)</f>
        <v>-11168</v>
      </c>
      <c r="D46" s="8">
        <f>VLOOKUP(A46,'75 - Summary Exhibit'!$A$3:$O$314,15,0)</f>
        <v>19178</v>
      </c>
    </row>
    <row r="47" spans="1:4" x14ac:dyDescent="0.25">
      <c r="A47">
        <v>35105</v>
      </c>
      <c r="B47" t="s">
        <v>82</v>
      </c>
      <c r="C47" s="8">
        <f>VLOOKUP(A47,'75 - Summary Exhibit'!$A$3:$N$300,3,0)</f>
        <v>-33476</v>
      </c>
      <c r="D47" s="8">
        <f>VLOOKUP(A47,'75 - Summary Exhibit'!$A$3:$O$314,15,0)</f>
        <v>56119</v>
      </c>
    </row>
    <row r="48" spans="1:4" x14ac:dyDescent="0.25">
      <c r="A48">
        <v>35405</v>
      </c>
      <c r="B48" t="s">
        <v>84</v>
      </c>
      <c r="C48" s="8">
        <f>VLOOKUP(A48,'75 - Summary Exhibit'!$A$3:$N$300,3,0)</f>
        <v>-23559</v>
      </c>
      <c r="D48" s="8">
        <f>VLOOKUP(A48,'75 - Summary Exhibit'!$A$3:$O$314,15,0)</f>
        <v>38902</v>
      </c>
    </row>
    <row r="49" spans="1:4" x14ac:dyDescent="0.25">
      <c r="A49">
        <v>35805</v>
      </c>
      <c r="B49" t="s">
        <v>85</v>
      </c>
      <c r="C49" s="8">
        <f>VLOOKUP(A49,'75 - Summary Exhibit'!$A$3:$N$300,3,0)</f>
        <v>-6513</v>
      </c>
      <c r="D49" s="8">
        <f>VLOOKUP(A49,'75 - Summary Exhibit'!$A$3:$O$314,15,0)</f>
        <v>10915</v>
      </c>
    </row>
    <row r="50" spans="1:4" x14ac:dyDescent="0.25">
      <c r="A50">
        <v>36105</v>
      </c>
      <c r="B50" t="s">
        <v>88</v>
      </c>
      <c r="C50" s="8">
        <f>VLOOKUP(A50,'75 - Summary Exhibit'!$A$3:$N$300,3,0)</f>
        <v>-8432</v>
      </c>
      <c r="D50" s="8">
        <f>VLOOKUP(A50,'75 - Summary Exhibit'!$A$3:$O$314,15,0)</f>
        <v>13628</v>
      </c>
    </row>
    <row r="51" spans="1:4" x14ac:dyDescent="0.25">
      <c r="A51">
        <v>35905</v>
      </c>
      <c r="B51" t="s">
        <v>86</v>
      </c>
      <c r="C51" s="8">
        <f>VLOOKUP(A51,'75 - Summary Exhibit'!$A$3:$N$300,3,0)</f>
        <v>-9759</v>
      </c>
      <c r="D51" s="8">
        <f>VLOOKUP(A51,'75 - Summary Exhibit'!$A$3:$O$314,15,0)</f>
        <v>15951</v>
      </c>
    </row>
    <row r="52" spans="1:4" x14ac:dyDescent="0.25">
      <c r="A52">
        <v>34905</v>
      </c>
      <c r="B52" t="s">
        <v>80</v>
      </c>
      <c r="C52" s="8">
        <f>VLOOKUP(A52,'75 - Summary Exhibit'!$A$3:$N$300,3,0)</f>
        <v>-17454</v>
      </c>
      <c r="D52" s="8">
        <f>VLOOKUP(A52,'75 - Summary Exhibit'!$A$3:$O$314,15,0)</f>
        <v>28208</v>
      </c>
    </row>
    <row r="53" spans="1:4" x14ac:dyDescent="0.25">
      <c r="A53">
        <v>36205</v>
      </c>
      <c r="B53" t="s">
        <v>89</v>
      </c>
      <c r="C53" s="8">
        <f>VLOOKUP(A53,'75 - Summary Exhibit'!$A$3:$N$300,3,0)</f>
        <v>-8897</v>
      </c>
      <c r="D53" s="8">
        <f>VLOOKUP(A53,'75 - Summary Exhibit'!$A$3:$O$314,15,0)</f>
        <v>15301</v>
      </c>
    </row>
    <row r="54" spans="1:4" x14ac:dyDescent="0.25">
      <c r="A54">
        <v>36405</v>
      </c>
      <c r="B54" t="s">
        <v>91</v>
      </c>
      <c r="C54" s="8">
        <f>VLOOKUP(A54,'75 - Summary Exhibit'!$A$3:$N$300,3,0)</f>
        <v>-18626</v>
      </c>
      <c r="D54" s="8">
        <f>VLOOKUP(A54,'75 - Summary Exhibit'!$A$3:$O$314,15,0)</f>
        <v>30102</v>
      </c>
    </row>
    <row r="55" spans="1:4" x14ac:dyDescent="0.25">
      <c r="A55">
        <v>36905</v>
      </c>
      <c r="B55" t="s">
        <v>94</v>
      </c>
      <c r="C55" s="8">
        <f>VLOOKUP(A55,'75 - Summary Exhibit'!$A$3:$N$300,3,0)</f>
        <v>-5015</v>
      </c>
      <c r="D55" s="8">
        <f>VLOOKUP(A55,'75 - Summary Exhibit'!$A$3:$O$314,15,0)</f>
        <v>8153</v>
      </c>
    </row>
    <row r="56" spans="1:4" x14ac:dyDescent="0.25">
      <c r="A56">
        <v>37305</v>
      </c>
      <c r="B56" t="s">
        <v>96</v>
      </c>
      <c r="C56" s="8">
        <f>VLOOKUP(A56,'75 - Summary Exhibit'!$A$3:$N$300,3,0)</f>
        <v>-12021</v>
      </c>
      <c r="D56" s="8">
        <f>VLOOKUP(A56,'75 - Summary Exhibit'!$A$3:$O$314,15,0)</f>
        <v>19428</v>
      </c>
    </row>
    <row r="57" spans="1:4" x14ac:dyDescent="0.25">
      <c r="A57">
        <v>37405</v>
      </c>
      <c r="B57" t="s">
        <v>97</v>
      </c>
      <c r="C57" s="8">
        <f>VLOOKUP(A57,'75 - Summary Exhibit'!$A$3:$N$300,3,0)</f>
        <v>-46087</v>
      </c>
      <c r="D57" s="8">
        <f>VLOOKUP(A57,'75 - Summary Exhibit'!$A$3:$O$314,15,0)</f>
        <v>74701</v>
      </c>
    </row>
    <row r="58" spans="1:4" x14ac:dyDescent="0.25">
      <c r="A58">
        <v>37605</v>
      </c>
      <c r="B58" t="s">
        <v>98</v>
      </c>
      <c r="C58" s="8">
        <f>VLOOKUP(A58,'75 - Summary Exhibit'!$A$3:$N$300,3,0)</f>
        <v>-18863</v>
      </c>
      <c r="D58" s="8">
        <f>VLOOKUP(A58,'75 - Summary Exhibit'!$A$3:$O$314,15,0)</f>
        <v>30485</v>
      </c>
    </row>
    <row r="59" spans="1:4" x14ac:dyDescent="0.25">
      <c r="A59">
        <v>37705</v>
      </c>
      <c r="B59" t="s">
        <v>99</v>
      </c>
      <c r="C59" s="8">
        <f>VLOOKUP(A59,'75 - Summary Exhibit'!$A$3:$N$300,3,0)</f>
        <v>-20305</v>
      </c>
      <c r="D59" s="8">
        <f>VLOOKUP(A59,'75 - Summary Exhibit'!$A$3:$O$314,15,0)</f>
        <v>32963</v>
      </c>
    </row>
    <row r="60" spans="1:4" x14ac:dyDescent="0.25">
      <c r="A60">
        <v>34605</v>
      </c>
      <c r="B60" t="s">
        <v>79</v>
      </c>
      <c r="C60" s="8">
        <f>VLOOKUP(A60,'75 - Summary Exhibit'!$A$3:$N$300,3,0)</f>
        <v>-5864</v>
      </c>
      <c r="D60" s="8">
        <f>VLOOKUP(A60,'75 - Summary Exhibit'!$A$3:$O$314,15,0)</f>
        <v>9673</v>
      </c>
    </row>
    <row r="61" spans="1:4" x14ac:dyDescent="0.25">
      <c r="A61">
        <v>37805</v>
      </c>
      <c r="B61" t="s">
        <v>100</v>
      </c>
      <c r="C61" s="8">
        <f>VLOOKUP(A61,'75 - Summary Exhibit'!$A$3:$N$300,3,0)</f>
        <v>-17665</v>
      </c>
      <c r="D61" s="8">
        <f>VLOOKUP(A61,'75 - Summary Exhibit'!$A$3:$O$314,15,0)</f>
        <v>29197</v>
      </c>
    </row>
    <row r="62" spans="1:4" x14ac:dyDescent="0.25">
      <c r="A62">
        <v>37905</v>
      </c>
      <c r="B62" t="s">
        <v>101</v>
      </c>
      <c r="C62" s="8">
        <f>VLOOKUP(A62,'75 - Summary Exhibit'!$A$3:$N$300,3,0)</f>
        <v>-12439</v>
      </c>
      <c r="D62" s="8">
        <f>VLOOKUP(A62,'75 - Summary Exhibit'!$A$3:$O$314,15,0)</f>
        <v>20481</v>
      </c>
    </row>
    <row r="63" spans="1:4" x14ac:dyDescent="0.25">
      <c r="A63">
        <v>38005</v>
      </c>
      <c r="B63" t="s">
        <v>102</v>
      </c>
      <c r="C63" s="8">
        <f>VLOOKUP(A63,'75 - Summary Exhibit'!$A$3:$N$300,3,0)</f>
        <v>-41852</v>
      </c>
      <c r="D63" s="8">
        <f>VLOOKUP(A63,'75 - Summary Exhibit'!$A$3:$O$314,15,0)</f>
        <v>69679</v>
      </c>
    </row>
    <row r="64" spans="1:4" x14ac:dyDescent="0.25">
      <c r="A64">
        <v>38205</v>
      </c>
      <c r="B64" t="s">
        <v>104</v>
      </c>
      <c r="C64" s="8">
        <f>VLOOKUP(A64,'75 - Summary Exhibit'!$A$3:$N$300,3,0)</f>
        <v>-12515</v>
      </c>
      <c r="D64" s="8">
        <f>VLOOKUP(A64,'75 - Summary Exhibit'!$A$3:$O$314,15,0)</f>
        <v>20869</v>
      </c>
    </row>
    <row r="65" spans="1:4" x14ac:dyDescent="0.25">
      <c r="A65">
        <v>36305</v>
      </c>
      <c r="B65" t="s">
        <v>90</v>
      </c>
      <c r="C65" s="8">
        <f>VLOOKUP(A65,'75 - Summary Exhibit'!$A$3:$N$300,3,0)</f>
        <v>-29686</v>
      </c>
      <c r="D65" s="8">
        <f>VLOOKUP(A65,'75 - Summary Exhibit'!$A$3:$O$314,15,0)</f>
        <v>48709</v>
      </c>
    </row>
    <row r="66" spans="1:4" x14ac:dyDescent="0.25">
      <c r="A66">
        <v>30405</v>
      </c>
      <c r="B66" t="s">
        <v>55</v>
      </c>
      <c r="C66" s="8">
        <f>VLOOKUP(A66,'75 - Summary Exhibit'!$A$3:$N$300,3,0)</f>
        <v>-21649</v>
      </c>
      <c r="D66" s="8">
        <f>VLOOKUP(A66,'75 - Summary Exhibit'!$A$3:$O$314,15,0)</f>
        <v>36940</v>
      </c>
    </row>
    <row r="67" spans="1:4" x14ac:dyDescent="0.25">
      <c r="A67">
        <v>32405</v>
      </c>
      <c r="B67" t="s">
        <v>66</v>
      </c>
      <c r="C67" s="8">
        <f>VLOOKUP(A67,'75 - Summary Exhibit'!$A$3:$N$300,3,0)</f>
        <v>-14445</v>
      </c>
      <c r="D67" s="8">
        <f>VLOOKUP(A67,'75 - Summary Exhibit'!$A$3:$O$314,15,0)</f>
        <v>23344</v>
      </c>
    </row>
    <row r="68" spans="1:4" x14ac:dyDescent="0.25">
      <c r="A68">
        <v>35005</v>
      </c>
      <c r="B68" t="s">
        <v>81</v>
      </c>
      <c r="C68" s="8">
        <f>VLOOKUP(A68,'75 - Summary Exhibit'!$A$3:$N$300,3,0)</f>
        <v>-16177</v>
      </c>
      <c r="D68" s="8">
        <f>VLOOKUP(A68,'75 - Summary Exhibit'!$A$3:$O$314,15,0)</f>
        <v>26144</v>
      </c>
    </row>
    <row r="69" spans="1:4" x14ac:dyDescent="0.25">
      <c r="A69">
        <v>38405</v>
      </c>
      <c r="B69" t="s">
        <v>105</v>
      </c>
      <c r="C69" s="8">
        <f>VLOOKUP(A69,'75 - Summary Exhibit'!$A$3:$N$300,3,0)</f>
        <v>-19301</v>
      </c>
      <c r="D69" s="8">
        <f>VLOOKUP(A69,'75 - Summary Exhibit'!$A$3:$O$314,15,0)</f>
        <v>31257</v>
      </c>
    </row>
    <row r="70" spans="1:4" x14ac:dyDescent="0.25">
      <c r="A70">
        <v>38605</v>
      </c>
      <c r="B70" t="s">
        <v>106</v>
      </c>
      <c r="C70" s="8">
        <f>VLOOKUP(A70,'75 - Summary Exhibit'!$A$3:$N$300,3,0)</f>
        <v>-21270</v>
      </c>
      <c r="D70" s="8">
        <f>VLOOKUP(A70,'75 - Summary Exhibit'!$A$3:$O$314,15,0)</f>
        <v>36212</v>
      </c>
    </row>
    <row r="71" spans="1:4" x14ac:dyDescent="0.25">
      <c r="A71">
        <v>32005</v>
      </c>
      <c r="B71" t="s">
        <v>64</v>
      </c>
      <c r="C71" s="8">
        <f>VLOOKUP(A71,'75 - Summary Exhibit'!$A$3:$N$300,3,0)</f>
        <v>-10283</v>
      </c>
      <c r="D71" s="8">
        <f>VLOOKUP(A71,'75 - Summary Exhibit'!$A$3:$O$314,15,0)</f>
        <v>18972</v>
      </c>
    </row>
    <row r="72" spans="1:4" x14ac:dyDescent="0.25">
      <c r="A72">
        <v>39105</v>
      </c>
      <c r="B72" t="s">
        <v>107</v>
      </c>
      <c r="C72" s="8">
        <f>VLOOKUP(A72,'75 - Summary Exhibit'!$A$3:$N$300,3,0)</f>
        <v>-20938</v>
      </c>
      <c r="D72" s="8">
        <f>VLOOKUP(A72,'75 - Summary Exhibit'!$A$3:$O$314,15,0)</f>
        <v>33983</v>
      </c>
    </row>
    <row r="73" spans="1:4" x14ac:dyDescent="0.25">
      <c r="A73">
        <v>39205</v>
      </c>
      <c r="B73" t="s">
        <v>108</v>
      </c>
      <c r="C73" s="8">
        <f>VLOOKUP(A73,'75 - Summary Exhibit'!$A$3:$N$300,3,0)</f>
        <v>-167995</v>
      </c>
      <c r="D73" s="8">
        <f>VLOOKUP(A73,'75 - Summary Exhibit'!$A$3:$O$314,15,0)</f>
        <v>296358</v>
      </c>
    </row>
    <row r="74" spans="1:4" x14ac:dyDescent="0.25">
      <c r="A74">
        <v>39605</v>
      </c>
      <c r="B74" t="s">
        <v>109</v>
      </c>
      <c r="C74" s="8">
        <f>VLOOKUP(A74,'75 - Summary Exhibit'!$A$3:$N$300,3,0)</f>
        <v>-22857</v>
      </c>
      <c r="D74" s="8">
        <f>VLOOKUP(A74,'75 - Summary Exhibit'!$A$3:$O$314,15,0)</f>
        <v>38131</v>
      </c>
    </row>
    <row r="75" spans="1:4" x14ac:dyDescent="0.25">
      <c r="A75">
        <v>31205</v>
      </c>
      <c r="B75" t="s">
        <v>60</v>
      </c>
      <c r="C75" s="8">
        <f>VLOOKUP(A75,'75 - Summary Exhibit'!$A$3:$N$300,3,0)</f>
        <v>-12206</v>
      </c>
      <c r="D75" s="8">
        <f>VLOOKUP(A75,'75 - Summary Exhibit'!$A$3:$O$314,15,0)</f>
        <v>20054</v>
      </c>
    </row>
    <row r="76" spans="1:4" x14ac:dyDescent="0.25">
      <c r="A76">
        <v>39705</v>
      </c>
      <c r="B76" t="s">
        <v>110</v>
      </c>
      <c r="C76" s="8">
        <f>VLOOKUP(A76,'75 - Summary Exhibit'!$A$3:$N$300,3,0)</f>
        <v>-25014</v>
      </c>
      <c r="D76" s="8">
        <f>VLOOKUP(A76,'75 - Summary Exhibit'!$A$3:$O$314,15,0)</f>
        <v>41107</v>
      </c>
    </row>
    <row r="77" spans="1:4" x14ac:dyDescent="0.25">
      <c r="A77">
        <v>39805</v>
      </c>
      <c r="B77" t="s">
        <v>111</v>
      </c>
      <c r="C77" s="8">
        <f>VLOOKUP(A77,'75 - Summary Exhibit'!$A$3:$N$300,3,0)</f>
        <v>-12788</v>
      </c>
      <c r="D77" s="8">
        <f>VLOOKUP(A77,'75 - Summary Exhibit'!$A$3:$O$314,15,0)</f>
        <v>20694</v>
      </c>
    </row>
    <row r="78" spans="1:4" ht="13.8" x14ac:dyDescent="0.25">
      <c r="A78">
        <v>11310</v>
      </c>
      <c r="B78" s="247" t="s">
        <v>262</v>
      </c>
      <c r="C78" s="8">
        <f>VLOOKUP(A78,'75 - Summary Exhibit'!$A$3:$N$300,3,0)</f>
        <v>-16657</v>
      </c>
      <c r="D78" s="8">
        <f>VLOOKUP(A78,'75 - Summary Exhibit'!$A$3:$O$314,15,0)</f>
        <v>27257</v>
      </c>
    </row>
    <row r="79" spans="1:4" x14ac:dyDescent="0.25">
      <c r="A79">
        <v>14300.2</v>
      </c>
      <c r="B79" s="248" t="s">
        <v>163</v>
      </c>
      <c r="C79" s="8">
        <f>VLOOKUP(A79,'75 - Summary Exhibit'!$A$3:$N$300,3,0)</f>
        <v>-4903</v>
      </c>
      <c r="D79" s="8">
        <f>VLOOKUP(A79,'75 - Summary Exhibit'!$A$3:$O$314,15,0)</f>
        <v>10464</v>
      </c>
    </row>
    <row r="80" spans="1:4" x14ac:dyDescent="0.25">
      <c r="A80">
        <v>21525</v>
      </c>
      <c r="B80" s="248" t="s">
        <v>244</v>
      </c>
      <c r="C80" s="8">
        <f>VLOOKUP(A80,'75 - Summary Exhibit'!$A$3:$N$300,3,0)</f>
        <v>-70340</v>
      </c>
      <c r="D80" s="8">
        <f>VLOOKUP(A80,'75 - Summary Exhibit'!$A$3:$O$314,15,0)</f>
        <v>137088</v>
      </c>
    </row>
    <row r="81" spans="1:4" x14ac:dyDescent="0.25">
      <c r="A81">
        <v>21525.200000000001</v>
      </c>
      <c r="B81" s="248" t="s">
        <v>157</v>
      </c>
      <c r="C81" s="8">
        <f>VLOOKUP(A81,'75 - Summary Exhibit'!$A$3:$N$300,3,0)</f>
        <v>-1903</v>
      </c>
      <c r="D81" s="8">
        <f>VLOOKUP(A81,'75 - Summary Exhibit'!$A$3:$O$314,15,0)</f>
        <v>5164</v>
      </c>
    </row>
    <row r="82" spans="1:4" x14ac:dyDescent="0.25">
      <c r="A82">
        <v>51000.2</v>
      </c>
      <c r="B82" s="248" t="s">
        <v>165</v>
      </c>
      <c r="C82" s="8">
        <f>VLOOKUP(A82,'75 - Summary Exhibit'!$A$3:$N$300,3,0)</f>
        <v>-1373</v>
      </c>
      <c r="D82" s="8">
        <f>VLOOKUP(A82,'75 - Summary Exhibit'!$A$3:$O$314,15,0)</f>
        <v>3601</v>
      </c>
    </row>
    <row r="83" spans="1:4" x14ac:dyDescent="0.25">
      <c r="A83">
        <v>51000.3</v>
      </c>
      <c r="B83" s="248" t="s">
        <v>164</v>
      </c>
      <c r="C83" s="8">
        <f>VLOOKUP(A83,'75 - Summary Exhibit'!$A$3:$N$300,3,0)</f>
        <v>-30924</v>
      </c>
      <c r="D83" s="8">
        <f>VLOOKUP(A83,'75 - Summary Exhibit'!$A$3:$O$314,15,0)</f>
        <v>53771</v>
      </c>
    </row>
    <row r="85" spans="1:4" x14ac:dyDescent="0.25">
      <c r="C85" s="8">
        <f>SUM(C2:C84)</f>
        <v>-10504592</v>
      </c>
      <c r="D85" s="8">
        <f>SUM(D2:D84)</f>
        <v>18108019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M154"/>
  <sheetViews>
    <sheetView showGridLines="0" zoomScale="127" zoomScaleNormal="127" workbookViewId="0">
      <selection activeCell="E45" sqref="E45"/>
    </sheetView>
  </sheetViews>
  <sheetFormatPr defaultColWidth="9.109375" defaultRowHeight="13.2" x14ac:dyDescent="0.25"/>
  <cols>
    <col min="1" max="1" width="4.44140625" style="15" customWidth="1"/>
    <col min="2" max="2" width="50.6640625" style="15" customWidth="1"/>
    <col min="3" max="3" width="7.6640625" style="15" customWidth="1"/>
    <col min="4" max="4" width="3.6640625" style="15" customWidth="1"/>
    <col min="5" max="6" width="9.6640625" style="15" customWidth="1"/>
    <col min="7" max="7" width="40.6640625" style="15" customWidth="1"/>
    <col min="8" max="8" width="16.33203125" style="15" customWidth="1"/>
    <col min="9" max="9" width="14" style="15" customWidth="1"/>
    <col min="10" max="10" width="88.109375" style="15" customWidth="1"/>
    <col min="11" max="16384" width="9.109375" style="15"/>
  </cols>
  <sheetData>
    <row r="1" spans="1:10" x14ac:dyDescent="0.25">
      <c r="A1" s="51" t="str">
        <f>Info!B5</f>
        <v>APPALACHIAN STATE UNIVERSITY</v>
      </c>
    </row>
    <row r="2" spans="1:10" x14ac:dyDescent="0.25">
      <c r="A2" s="51" t="s">
        <v>189</v>
      </c>
    </row>
    <row r="3" spans="1:10" x14ac:dyDescent="0.25">
      <c r="A3" s="51" t="s">
        <v>527</v>
      </c>
    </row>
    <row r="4" spans="1:10" ht="9.9" customHeight="1" x14ac:dyDescent="0.3">
      <c r="A4" s="51"/>
      <c r="G4" s="54"/>
    </row>
    <row r="5" spans="1:10" ht="12" customHeight="1" x14ac:dyDescent="0.3">
      <c r="A5" s="26"/>
      <c r="B5" s="26"/>
      <c r="C5" s="32" t="str">
        <f>IF(Info!B$10=2,"Colleague","NCFS")</f>
        <v>NCFS</v>
      </c>
      <c r="D5" s="26"/>
      <c r="E5" s="26"/>
      <c r="F5" s="26"/>
      <c r="G5" s="26"/>
      <c r="H5" s="26"/>
      <c r="I5" s="26"/>
    </row>
    <row r="6" spans="1:10" ht="12" customHeight="1" x14ac:dyDescent="0.3">
      <c r="A6" s="27" t="s">
        <v>2</v>
      </c>
      <c r="B6" s="27" t="s">
        <v>137</v>
      </c>
      <c r="C6" s="28" t="s">
        <v>124</v>
      </c>
      <c r="D6" s="28" t="s">
        <v>14</v>
      </c>
      <c r="E6" s="28" t="s">
        <v>0</v>
      </c>
      <c r="F6" s="28" t="s">
        <v>1</v>
      </c>
      <c r="G6" s="28" t="s">
        <v>23</v>
      </c>
      <c r="H6" s="28" t="s">
        <v>3</v>
      </c>
      <c r="I6" s="28" t="s">
        <v>22</v>
      </c>
    </row>
    <row r="7" spans="1:10" ht="3" customHeight="1" x14ac:dyDescent="0.3">
      <c r="A7" s="29"/>
      <c r="B7" s="30"/>
      <c r="C7" s="31"/>
      <c r="D7" s="31"/>
      <c r="E7" s="28"/>
      <c r="F7" s="28"/>
      <c r="G7" s="26"/>
      <c r="H7" s="26"/>
      <c r="I7" s="26"/>
    </row>
    <row r="8" spans="1:10" ht="13.8" x14ac:dyDescent="0.3">
      <c r="A8" s="26"/>
      <c r="B8" s="14" t="s">
        <v>169</v>
      </c>
      <c r="C8" s="31"/>
      <c r="D8" s="31"/>
      <c r="E8" s="32"/>
      <c r="F8" s="32"/>
      <c r="G8" s="30"/>
      <c r="H8" s="30"/>
      <c r="I8" s="26"/>
    </row>
    <row r="9" spans="1:10" ht="3.9" customHeight="1" x14ac:dyDescent="0.3">
      <c r="A9" s="26"/>
      <c r="B9" s="33"/>
      <c r="C9" s="31"/>
      <c r="D9" s="31"/>
      <c r="E9" s="32"/>
      <c r="F9" s="32"/>
      <c r="G9" s="30"/>
      <c r="H9" s="30"/>
      <c r="I9" s="26"/>
    </row>
    <row r="10" spans="1:10" ht="13.5" customHeight="1" x14ac:dyDescent="0.3">
      <c r="A10" s="26"/>
      <c r="B10" s="165" t="s">
        <v>190</v>
      </c>
      <c r="C10" s="31"/>
      <c r="D10" s="31"/>
      <c r="E10" s="35">
        <f>VLOOKUP(Info!B9,Data!B:AU,32,FALSE)</f>
        <v>16828</v>
      </c>
      <c r="F10" s="32"/>
      <c r="G10" s="30" t="s">
        <v>25</v>
      </c>
      <c r="H10" s="30"/>
      <c r="I10" s="26"/>
    </row>
    <row r="11" spans="1:10" ht="13.5" customHeight="1" x14ac:dyDescent="0.3">
      <c r="A11" s="26"/>
      <c r="B11" s="165" t="s">
        <v>190</v>
      </c>
      <c r="C11" s="31"/>
      <c r="D11" s="31"/>
      <c r="E11" s="35">
        <f>VLOOKUP(Info!B9,Data!B:AU,31,FALSE)</f>
        <v>21886</v>
      </c>
      <c r="F11" s="32"/>
      <c r="G11" s="30" t="s">
        <v>128</v>
      </c>
      <c r="H11" s="30"/>
      <c r="I11" s="26"/>
    </row>
    <row r="12" spans="1:10" ht="13.5" customHeight="1" x14ac:dyDescent="0.3">
      <c r="A12" s="26"/>
      <c r="B12" s="165" t="s">
        <v>190</v>
      </c>
      <c r="C12" s="31"/>
      <c r="D12" s="31"/>
      <c r="E12" s="35">
        <f>VLOOKUP(Info!B9,Data!B:AU,30,FALSE)</f>
        <v>392293</v>
      </c>
      <c r="F12" s="32"/>
      <c r="G12" s="30" t="s">
        <v>26</v>
      </c>
      <c r="H12" s="30"/>
      <c r="I12" s="26"/>
    </row>
    <row r="13" spans="1:10" ht="13.8" x14ac:dyDescent="0.3">
      <c r="A13" s="34"/>
      <c r="B13" s="165" t="s">
        <v>190</v>
      </c>
      <c r="C13" s="31"/>
      <c r="D13" s="31"/>
      <c r="E13" s="35">
        <f>VLOOKUP(Info!B9,Data!B:AU,29,FALSE)</f>
        <v>263215</v>
      </c>
      <c r="F13" s="35"/>
      <c r="G13" s="142" t="s">
        <v>24</v>
      </c>
      <c r="H13" s="142"/>
      <c r="I13" s="142"/>
    </row>
    <row r="14" spans="1:10" ht="13.8" x14ac:dyDescent="0.3">
      <c r="A14" s="34"/>
      <c r="B14" s="30" t="s">
        <v>190</v>
      </c>
      <c r="C14" s="31"/>
      <c r="D14" s="31"/>
      <c r="E14" s="35">
        <f>VLOOKUP(Info!B9,Data!B:AU,2,FALSE)+VLOOKUP(Info!B9,Data!B:AU,24,FALSE)</f>
        <v>267653</v>
      </c>
      <c r="F14" s="35"/>
      <c r="G14" s="143" t="s">
        <v>532</v>
      </c>
      <c r="H14" s="142"/>
      <c r="I14" s="142" t="s">
        <v>130</v>
      </c>
    </row>
    <row r="15" spans="1:10" ht="13.8" x14ac:dyDescent="0.3">
      <c r="A15" s="34"/>
      <c r="B15" s="30" t="s">
        <v>222</v>
      </c>
      <c r="C15" s="31"/>
      <c r="D15" s="31"/>
      <c r="E15" s="26"/>
      <c r="F15" s="35"/>
      <c r="G15" s="142" t="s">
        <v>223</v>
      </c>
      <c r="H15" s="142"/>
      <c r="I15" s="142"/>
    </row>
    <row r="16" spans="1:10" ht="13.8" x14ac:dyDescent="0.3">
      <c r="A16" s="34"/>
      <c r="B16" s="180" t="s">
        <v>513</v>
      </c>
      <c r="C16" s="177"/>
      <c r="D16" s="177"/>
      <c r="E16" s="178"/>
      <c r="F16" s="35">
        <f>VLOOKUP(Info!B9,Data!B:AU,28,FALSE)</f>
        <v>300346</v>
      </c>
      <c r="G16" s="179" t="s">
        <v>514</v>
      </c>
      <c r="H16" s="142"/>
      <c r="I16" s="142"/>
      <c r="J16" s="134" t="s">
        <v>515</v>
      </c>
    </row>
    <row r="17" spans="1:10" ht="13.8" x14ac:dyDescent="0.3">
      <c r="A17" s="34"/>
      <c r="B17" s="36" t="s">
        <v>191</v>
      </c>
      <c r="C17" s="31"/>
      <c r="D17" s="31"/>
      <c r="E17" s="35"/>
      <c r="F17" s="35">
        <f>VLOOKUP(Info!B9,Data!B:AU,33,FALSE)</f>
        <v>166356</v>
      </c>
      <c r="G17" s="142" t="s">
        <v>24</v>
      </c>
      <c r="H17" s="142"/>
      <c r="I17" s="142"/>
      <c r="J17" s="134" t="s">
        <v>516</v>
      </c>
    </row>
    <row r="18" spans="1:10" ht="13.8" x14ac:dyDescent="0.3">
      <c r="A18" s="34"/>
      <c r="B18" s="36" t="s">
        <v>191</v>
      </c>
      <c r="C18" s="31"/>
      <c r="D18" s="31"/>
      <c r="E18" s="35"/>
      <c r="F18" s="35">
        <f>VLOOKUP(Info!B9,Data!B:AU,34,FALSE)</f>
        <v>0</v>
      </c>
      <c r="G18" s="142" t="s">
        <v>26</v>
      </c>
      <c r="H18" s="142"/>
      <c r="I18" s="142"/>
    </row>
    <row r="19" spans="1:10" ht="13.8" x14ac:dyDescent="0.3">
      <c r="A19" s="34"/>
      <c r="B19" s="36" t="s">
        <v>191</v>
      </c>
      <c r="C19" s="31"/>
      <c r="D19" s="31"/>
      <c r="E19" s="35"/>
      <c r="F19" s="35">
        <f>VLOOKUP(Info!B9,Data!B:AU,35,FALSE)</f>
        <v>51270</v>
      </c>
      <c r="G19" s="142" t="s">
        <v>128</v>
      </c>
      <c r="H19" s="142"/>
      <c r="I19" s="142"/>
    </row>
    <row r="20" spans="1:10" ht="13.8" x14ac:dyDescent="0.3">
      <c r="A20" s="34"/>
      <c r="B20" s="36" t="s">
        <v>191</v>
      </c>
      <c r="C20" s="31"/>
      <c r="D20" s="31"/>
      <c r="E20" s="35"/>
      <c r="F20" s="35">
        <f>VLOOKUP(Info!B9,Data!B:AU,36,FALSE)</f>
        <v>31827</v>
      </c>
      <c r="G20" s="142" t="s">
        <v>25</v>
      </c>
      <c r="H20" s="142"/>
      <c r="I20" s="142"/>
    </row>
    <row r="21" spans="1:10" ht="4.5" customHeight="1" x14ac:dyDescent="0.3">
      <c r="A21" s="34"/>
      <c r="B21" s="157"/>
      <c r="C21" s="31"/>
      <c r="D21" s="31"/>
      <c r="E21" s="41"/>
      <c r="F21" s="35"/>
      <c r="G21" s="143"/>
      <c r="H21" s="142"/>
      <c r="I21" s="26"/>
    </row>
    <row r="22" spans="1:10" ht="13.5" customHeight="1" x14ac:dyDescent="0.3">
      <c r="A22" s="34"/>
      <c r="B22" s="135" t="s">
        <v>534</v>
      </c>
      <c r="C22" s="32"/>
      <c r="D22" s="32"/>
      <c r="E22" s="168">
        <v>0</v>
      </c>
      <c r="F22" s="35"/>
      <c r="G22" s="166" t="s">
        <v>533</v>
      </c>
      <c r="H22" s="26"/>
      <c r="I22" s="26"/>
    </row>
    <row r="23" spans="1:10" ht="13.8" x14ac:dyDescent="0.3">
      <c r="A23" s="34"/>
      <c r="B23" s="14" t="s">
        <v>133</v>
      </c>
      <c r="C23" s="26"/>
      <c r="D23" s="26"/>
      <c r="E23" s="38"/>
      <c r="F23" s="38"/>
      <c r="G23" s="142"/>
      <c r="H23" s="142"/>
      <c r="I23" s="26"/>
    </row>
    <row r="24" spans="1:10" ht="3" customHeight="1" x14ac:dyDescent="0.3">
      <c r="A24" s="34"/>
      <c r="B24" s="14"/>
      <c r="C24" s="26"/>
      <c r="D24" s="26"/>
      <c r="E24" s="38"/>
      <c r="F24" s="38"/>
      <c r="G24" s="142"/>
      <c r="H24" s="142"/>
      <c r="I24" s="26"/>
    </row>
    <row r="25" spans="1:10" ht="13.5" customHeight="1" x14ac:dyDescent="0.3">
      <c r="A25" s="34"/>
      <c r="B25" s="40" t="s">
        <v>242</v>
      </c>
      <c r="C25" s="26"/>
      <c r="D25" s="26"/>
      <c r="E25" s="38"/>
      <c r="F25" s="38"/>
      <c r="G25" s="142"/>
      <c r="H25" s="142"/>
      <c r="I25" s="26"/>
    </row>
    <row r="26" spans="1:10" ht="13.8" x14ac:dyDescent="0.3">
      <c r="A26" s="34"/>
      <c r="B26" s="30" t="s">
        <v>239</v>
      </c>
      <c r="C26" s="31">
        <f>IF(Info!B$10=2,Summary!R10,Summary!Q10)</f>
        <v>61100009</v>
      </c>
      <c r="D26" s="26"/>
      <c r="E26" s="167">
        <f>IF(E22=0,0,IF(E22&lt;E14,E14-E22,0))</f>
        <v>0</v>
      </c>
      <c r="F26" s="38"/>
      <c r="G26" s="142" t="s">
        <v>535</v>
      </c>
      <c r="H26" s="142"/>
      <c r="I26" s="26"/>
    </row>
    <row r="27" spans="1:10" ht="13.8" x14ac:dyDescent="0.3">
      <c r="A27" s="34"/>
      <c r="B27" s="30" t="s">
        <v>240</v>
      </c>
      <c r="C27" s="31">
        <f>IF(Info!B$10=2,Summary!R14,Summary!Q14)</f>
        <v>55900000</v>
      </c>
      <c r="D27" s="26"/>
      <c r="E27" s="167">
        <f>F28</f>
        <v>0</v>
      </c>
      <c r="F27" s="38"/>
      <c r="G27" s="142" t="s">
        <v>15</v>
      </c>
      <c r="H27" s="142" t="s">
        <v>243</v>
      </c>
      <c r="I27" s="26"/>
    </row>
    <row r="28" spans="1:10" ht="13.8" x14ac:dyDescent="0.3">
      <c r="A28" s="34"/>
      <c r="B28" s="36" t="s">
        <v>239</v>
      </c>
      <c r="C28" s="31">
        <f>IF(Info!B$10=2,Summary!R10,Summary!Q10)</f>
        <v>61100009</v>
      </c>
      <c r="D28" s="31"/>
      <c r="E28" s="35"/>
      <c r="F28" s="35">
        <f>IF(E22=0,0,IF(E22&gt;E14, E22-E14,0))</f>
        <v>0</v>
      </c>
      <c r="G28" s="142" t="s">
        <v>535</v>
      </c>
      <c r="H28" s="142"/>
      <c r="I28" s="26"/>
    </row>
    <row r="29" spans="1:10" ht="13.8" x14ac:dyDescent="0.3">
      <c r="A29" s="39"/>
      <c r="B29" s="36" t="s">
        <v>241</v>
      </c>
      <c r="C29" s="31">
        <f>IF(Info!B$10=2,Summary!R15,Summary!Q15)</f>
        <v>47995000</v>
      </c>
      <c r="D29" s="27"/>
      <c r="E29" s="35"/>
      <c r="F29" s="35">
        <f>E26</f>
        <v>0</v>
      </c>
      <c r="G29" s="142" t="s">
        <v>15</v>
      </c>
      <c r="H29" s="142" t="s">
        <v>243</v>
      </c>
      <c r="I29" s="26"/>
    </row>
    <row r="30" spans="1:10" ht="13.8" x14ac:dyDescent="0.3">
      <c r="A30" s="39"/>
      <c r="B30" s="36" t="s">
        <v>536</v>
      </c>
      <c r="C30" s="27"/>
      <c r="D30" s="27"/>
      <c r="E30" s="42">
        <f>SUM(E26:E29)</f>
        <v>0</v>
      </c>
      <c r="F30" s="42">
        <f>SUM(F26:F29)</f>
        <v>0</v>
      </c>
      <c r="G30" s="26"/>
      <c r="H30" s="26"/>
      <c r="I30" s="26"/>
    </row>
    <row r="31" spans="1:10" ht="3" customHeight="1" x14ac:dyDescent="0.3">
      <c r="A31" s="39"/>
      <c r="B31" s="36"/>
      <c r="C31" s="27"/>
      <c r="D31" s="27"/>
      <c r="E31" s="35"/>
      <c r="F31" s="35"/>
      <c r="G31" s="26"/>
      <c r="H31" s="26"/>
      <c r="I31" s="26"/>
    </row>
    <row r="32" spans="1:10" ht="13.8" x14ac:dyDescent="0.3">
      <c r="A32" s="39"/>
      <c r="B32" s="40" t="s">
        <v>192</v>
      </c>
      <c r="C32" s="27"/>
      <c r="D32" s="27"/>
      <c r="E32" s="35"/>
      <c r="F32" s="35"/>
      <c r="G32" s="26"/>
      <c r="H32" s="26"/>
      <c r="I32" s="26"/>
    </row>
    <row r="33" spans="1:9" ht="13.8" x14ac:dyDescent="0.3">
      <c r="A33" s="34"/>
      <c r="B33" s="30" t="s">
        <v>224</v>
      </c>
      <c r="C33" s="31">
        <f>IF(Info!B$10=2,Summary!R8,Summary!Q8)</f>
        <v>12978000</v>
      </c>
      <c r="D33" s="31"/>
      <c r="E33" s="26"/>
      <c r="F33" s="35"/>
      <c r="G33" s="142" t="s">
        <v>225</v>
      </c>
      <c r="H33" s="142" t="s">
        <v>150</v>
      </c>
      <c r="I33" s="144"/>
    </row>
    <row r="34" spans="1:9" ht="13.8" x14ac:dyDescent="0.3">
      <c r="A34" s="34"/>
      <c r="B34" s="176" t="s">
        <v>506</v>
      </c>
      <c r="C34" s="177">
        <f>IF(Info!B$10=2,Summary!R9,Summary!Q9)</f>
        <v>22916000</v>
      </c>
      <c r="D34" s="177"/>
      <c r="E34" s="178">
        <f>IF(VLOOKUP(Info!B9,Data!B:AV,27,FALSE)&lt;0,-VLOOKUP(Info!B9,Data!B:AV,27,FALSE),0)</f>
        <v>300346</v>
      </c>
      <c r="F34" s="178">
        <f>IF(VLOOKUP(Info!B9,Data!B:AU,27,FALSE)&gt;0, VLOOKUP(Info!B9,Data!B:AU,27,FALSE),0)</f>
        <v>0</v>
      </c>
      <c r="G34" s="179" t="s">
        <v>507</v>
      </c>
      <c r="H34" s="142" t="s">
        <v>150</v>
      </c>
      <c r="I34" s="144"/>
    </row>
    <row r="35" spans="1:9" ht="13.8" x14ac:dyDescent="0.3">
      <c r="A35" s="34"/>
      <c r="B35" s="30" t="s">
        <v>190</v>
      </c>
      <c r="C35" s="31">
        <f>IF(Info!B$10=2,Summary!R10,Summary!Q10)</f>
        <v>61100009</v>
      </c>
      <c r="D35" s="31">
        <v>1</v>
      </c>
      <c r="E35" s="35">
        <f>IF(VLOOKUP(Info!B9,Data!B:AU,40,FALSE)&gt;0, VLOOKUP(Info!B9,Data!B:AU,40,FALSE),0)</f>
        <v>0</v>
      </c>
      <c r="F35" s="35"/>
      <c r="G35" s="142" t="s">
        <v>24</v>
      </c>
      <c r="H35" s="142" t="s">
        <v>131</v>
      </c>
      <c r="I35" s="142"/>
    </row>
    <row r="36" spans="1:9" ht="13.8" x14ac:dyDescent="0.3">
      <c r="A36" s="34">
        <v>2</v>
      </c>
      <c r="B36" s="30" t="s">
        <v>191</v>
      </c>
      <c r="C36" s="31">
        <f>IF(Info!B$10=2,Summary!R11,Summary!Q11)</f>
        <v>71100011</v>
      </c>
      <c r="D36" s="31">
        <v>6</v>
      </c>
      <c r="E36" s="35">
        <f>IF(VLOOKUP(Info!B9,Data!B:AU,41,FALSE)&lt;0, -VLOOKUP(Info!B9,Data!B:AU,41,FALSE),0)</f>
        <v>0</v>
      </c>
      <c r="F36" s="35"/>
      <c r="G36" s="142" t="s">
        <v>24</v>
      </c>
      <c r="H36" s="142" t="s">
        <v>131</v>
      </c>
      <c r="I36" s="142"/>
    </row>
    <row r="37" spans="1:9" ht="13.8" x14ac:dyDescent="0.3">
      <c r="A37" s="26"/>
      <c r="B37" s="30" t="s">
        <v>190</v>
      </c>
      <c r="C37" s="31">
        <f>IF(Info!B$10=2,Summary!R10,Summary!Q10)</f>
        <v>61100009</v>
      </c>
      <c r="D37" s="31">
        <v>2</v>
      </c>
      <c r="E37" s="35">
        <f>IF(VLOOKUP(Info!B9,Data!B:AU,42,FALSE)&gt;0, VLOOKUP(Info!B9,Data!B:AU,42,FALSE),0)</f>
        <v>0</v>
      </c>
      <c r="F37" s="35"/>
      <c r="G37" s="142" t="s">
        <v>128</v>
      </c>
      <c r="H37" s="142" t="s">
        <v>177</v>
      </c>
      <c r="I37" s="144"/>
    </row>
    <row r="38" spans="1:9" ht="13.8" x14ac:dyDescent="0.3">
      <c r="A38" s="26"/>
      <c r="B38" s="30" t="s">
        <v>191</v>
      </c>
      <c r="C38" s="31">
        <f>IF(Info!B$10=2,Summary!R11,Summary!Q11)</f>
        <v>71100011</v>
      </c>
      <c r="D38" s="31">
        <v>7</v>
      </c>
      <c r="E38" s="35">
        <f>IF(VLOOKUP(Info!B9,Data!B:AU,43,FALSE)&lt;0, -VLOOKUP(Info!B9,Data!B:AU,43,FALSE),0)</f>
        <v>0</v>
      </c>
      <c r="F38" s="35"/>
      <c r="G38" s="142" t="s">
        <v>128</v>
      </c>
      <c r="H38" s="142" t="s">
        <v>177</v>
      </c>
      <c r="I38" s="144"/>
    </row>
    <row r="39" spans="1:9" ht="13.8" x14ac:dyDescent="0.3">
      <c r="A39" s="34"/>
      <c r="B39" s="30" t="s">
        <v>190</v>
      </c>
      <c r="C39" s="31">
        <f>IF(Info!B$10=2,Summary!R10,Summary!Q10)</f>
        <v>61100009</v>
      </c>
      <c r="D39" s="31">
        <v>4</v>
      </c>
      <c r="E39" s="35">
        <f>IF(VLOOKUP(Info!B9,Data!B:AU,38,FALSE)&gt;0, VLOOKUP(Info!B9,Data!B:AU,38,FALSE),0)</f>
        <v>0</v>
      </c>
      <c r="F39" s="35"/>
      <c r="G39" s="142" t="s">
        <v>25</v>
      </c>
      <c r="H39" s="142" t="s">
        <v>173</v>
      </c>
      <c r="I39" s="144"/>
    </row>
    <row r="40" spans="1:9" ht="13.8" x14ac:dyDescent="0.3">
      <c r="A40" s="34"/>
      <c r="B40" s="30" t="s">
        <v>191</v>
      </c>
      <c r="C40" s="31">
        <f>IF(Info!B$10=2,Summary!R11,Summary!Q11)</f>
        <v>71100011</v>
      </c>
      <c r="D40" s="31">
        <v>9</v>
      </c>
      <c r="E40" s="35">
        <f>IF(VLOOKUP(Info!B9,Data!B:AU,39,FALSE)&lt;0, -VLOOKUP(Info!B9,Data!B:AU,39,FALSE),0)</f>
        <v>4200</v>
      </c>
      <c r="F40" s="35"/>
      <c r="G40" s="142" t="s">
        <v>25</v>
      </c>
      <c r="H40" s="142" t="s">
        <v>173</v>
      </c>
      <c r="I40" s="144"/>
    </row>
    <row r="41" spans="1:9" ht="13.8" x14ac:dyDescent="0.3">
      <c r="A41" s="34"/>
      <c r="B41" s="30" t="s">
        <v>190</v>
      </c>
      <c r="C41" s="31">
        <f>IF(Info!B$10=2,Summary!R10,Summary!Q10)</f>
        <v>61100009</v>
      </c>
      <c r="D41" s="31">
        <v>3</v>
      </c>
      <c r="E41" s="35">
        <f>IF(VLOOKUP(Info!B9,Data!B:AU,45,FALSE)&gt;0, VLOOKUP(Info!B9,Data!B:AU,45,FALSE),0)</f>
        <v>0</v>
      </c>
      <c r="F41" s="26"/>
      <c r="G41" s="142" t="s">
        <v>26</v>
      </c>
      <c r="H41" s="142" t="s">
        <v>131</v>
      </c>
      <c r="I41" s="144"/>
    </row>
    <row r="42" spans="1:9" ht="13.8" x14ac:dyDescent="0.3">
      <c r="A42" s="34"/>
      <c r="B42" s="30" t="s">
        <v>191</v>
      </c>
      <c r="C42" s="31">
        <f>IF(Info!B$10=2,Summary!R11,Summary!Q11)</f>
        <v>71100011</v>
      </c>
      <c r="D42" s="31">
        <v>8</v>
      </c>
      <c r="E42" s="35">
        <f>IF(VLOOKUP(Info!B9,Data!B:AU,46,FALSE)&lt;0, -VLOOKUP(Info!B9,Data!B:AU,46,FALSE),0)</f>
        <v>0</v>
      </c>
      <c r="F42" s="35"/>
      <c r="G42" s="142" t="s">
        <v>26</v>
      </c>
      <c r="H42" s="142" t="s">
        <v>131</v>
      </c>
      <c r="I42" s="144"/>
    </row>
    <row r="43" spans="1:9" ht="13.8" x14ac:dyDescent="0.3">
      <c r="A43" s="34"/>
      <c r="B43" s="30" t="s">
        <v>193</v>
      </c>
      <c r="C43" s="31">
        <f>IF(Info!B$10=2,Summary!R12,Summary!Q12)</f>
        <v>51598000</v>
      </c>
      <c r="D43" s="31"/>
      <c r="E43" s="35">
        <f>IF(VLOOKUP(Info!B9,Data!B:AU,15,FALSE)&gt;0,VLOOKUP(Info!B9,Data!B:AU,15,FALSE),0)</f>
        <v>197680</v>
      </c>
      <c r="F43" s="35"/>
      <c r="G43" s="142" t="s">
        <v>226</v>
      </c>
      <c r="H43" s="145" t="s">
        <v>16</v>
      </c>
      <c r="I43" s="142"/>
    </row>
    <row r="44" spans="1:9" ht="13.8" x14ac:dyDescent="0.3">
      <c r="A44" s="34"/>
      <c r="B44" s="30" t="s">
        <v>193</v>
      </c>
      <c r="C44" s="31">
        <f>IF(Info!B$10=2,Summary!R12,Summary!Q12)</f>
        <v>51598000</v>
      </c>
      <c r="D44" s="31"/>
      <c r="E44" s="35"/>
      <c r="F44" s="35">
        <f>IF(VLOOKUP(Info!B9,Data!B:AU,15,FALSE)&lt;0, -VLOOKUP(Info!B9,Data!B:AU,15,FALSE),0)</f>
        <v>0</v>
      </c>
      <c r="G44" s="142" t="s">
        <v>226</v>
      </c>
      <c r="H44" s="145" t="s">
        <v>16</v>
      </c>
      <c r="I44" s="142"/>
    </row>
    <row r="45" spans="1:9" ht="13.8" x14ac:dyDescent="0.3">
      <c r="A45" s="34"/>
      <c r="B45" s="36" t="s">
        <v>224</v>
      </c>
      <c r="C45" s="31">
        <f>IF(Info!B$10=2,Summary!R8,Summary!Q8)</f>
        <v>12978000</v>
      </c>
      <c r="D45" s="31"/>
      <c r="E45" s="244">
        <f>IF(VLOOKUP(Info!B9,Data!B:AV,47,FALSE)&lt;0,-VLOOKUP(Info!B9,Data!B:AV,47,FALSE),0)</f>
        <v>390532</v>
      </c>
      <c r="F45" s="26"/>
      <c r="G45" s="142" t="s">
        <v>225</v>
      </c>
      <c r="H45" s="142" t="s">
        <v>150</v>
      </c>
      <c r="I45" s="142"/>
    </row>
    <row r="46" spans="1:9" ht="13.8" x14ac:dyDescent="0.3">
      <c r="A46" s="34"/>
      <c r="B46" s="180" t="s">
        <v>506</v>
      </c>
      <c r="C46" s="177">
        <f>IF(Info!B$10=2,Summary!R9,Summary!Q9)</f>
        <v>22916000</v>
      </c>
      <c r="D46" s="177"/>
      <c r="E46" s="178"/>
      <c r="F46" s="178"/>
      <c r="G46" s="179" t="s">
        <v>508</v>
      </c>
      <c r="H46" s="142" t="s">
        <v>150</v>
      </c>
      <c r="I46" s="142"/>
    </row>
    <row r="47" spans="1:9" ht="13.8" x14ac:dyDescent="0.3">
      <c r="A47" s="34"/>
      <c r="B47" s="36" t="s">
        <v>191</v>
      </c>
      <c r="C47" s="31">
        <f>IF(Info!B$10=2,Summary!R11,Summary!Q11)</f>
        <v>71100011</v>
      </c>
      <c r="D47" s="31">
        <v>6</v>
      </c>
      <c r="E47" s="41"/>
      <c r="F47" s="35">
        <f>IF(VLOOKUP(Info!B9,Data!B:AU,41,FALSE)&gt;0, VLOOKUP(Info!B9,Data!B:AU,41,FALSE),0)</f>
        <v>282840</v>
      </c>
      <c r="G47" s="142" t="s">
        <v>24</v>
      </c>
      <c r="H47" s="142" t="s">
        <v>174</v>
      </c>
      <c r="I47" s="26"/>
    </row>
    <row r="48" spans="1:9" ht="13.8" x14ac:dyDescent="0.3">
      <c r="A48" s="34"/>
      <c r="B48" s="36" t="s">
        <v>190</v>
      </c>
      <c r="C48" s="31">
        <f>IF(Info!B$10=2,Summary!R10,Summary!Q10)</f>
        <v>61100009</v>
      </c>
      <c r="D48" s="31">
        <v>1</v>
      </c>
      <c r="E48" s="41"/>
      <c r="F48" s="35">
        <f>IF(VLOOKUP(Info!B9,Data!B:AU,40,FALSE)&lt;0, -VLOOKUP(Info!B9,Data!B:AU,40,FALSE),0)</f>
        <v>105773</v>
      </c>
      <c r="G48" s="142" t="s">
        <v>24</v>
      </c>
      <c r="H48" s="142" t="s">
        <v>174</v>
      </c>
      <c r="I48" s="26"/>
    </row>
    <row r="49" spans="1:9" ht="13.8" x14ac:dyDescent="0.3">
      <c r="A49" s="34"/>
      <c r="B49" s="36" t="s">
        <v>191</v>
      </c>
      <c r="C49" s="31">
        <f>IF(Info!B$10=2,Summary!R11,Summary!Q11)</f>
        <v>71100011</v>
      </c>
      <c r="D49" s="31">
        <v>7</v>
      </c>
      <c r="E49" s="41"/>
      <c r="F49" s="35">
        <f>IF(VLOOKUP(Info!B9,Data!B:AU,43,FALSE)&gt;0, VLOOKUP(Info!B9,Data!B:AU,43,FALSE),0)</f>
        <v>130676</v>
      </c>
      <c r="G49" s="142" t="s">
        <v>128</v>
      </c>
      <c r="H49" s="142" t="s">
        <v>177</v>
      </c>
      <c r="I49" s="26"/>
    </row>
    <row r="50" spans="1:9" ht="13.8" x14ac:dyDescent="0.3">
      <c r="A50" s="34"/>
      <c r="B50" s="36" t="s">
        <v>190</v>
      </c>
      <c r="C50" s="31">
        <f>IF(Info!B$10=2,Summary!R10,Summary!Q10)</f>
        <v>61100009</v>
      </c>
      <c r="D50" s="31">
        <v>2</v>
      </c>
      <c r="E50" s="41"/>
      <c r="F50" s="35">
        <f>IF(VLOOKUP(Info!B9,Data!B:AS,42,FALSE)&lt;0, -VLOOKUP(Info!B9,Data!B:AS,42,FALSE),0)</f>
        <v>16062</v>
      </c>
      <c r="G50" s="142" t="s">
        <v>128</v>
      </c>
      <c r="H50" s="142" t="s">
        <v>177</v>
      </c>
      <c r="I50" s="26"/>
    </row>
    <row r="51" spans="1:9" ht="13.8" x14ac:dyDescent="0.3">
      <c r="A51" s="34"/>
      <c r="B51" s="36" t="s">
        <v>191</v>
      </c>
      <c r="C51" s="31">
        <f>IF(Info!B$10=2,Summary!R11,Summary!Q11)</f>
        <v>71100011</v>
      </c>
      <c r="D51" s="31">
        <v>9</v>
      </c>
      <c r="E51" s="41"/>
      <c r="F51" s="35">
        <f>IF(VLOOKUP(Info!B9,Data!B:AS,39,FALSE)&gt;0, VLOOKUP(Info!B9,Data!B:AS,39,FALSE),0)</f>
        <v>0</v>
      </c>
      <c r="G51" s="142" t="s">
        <v>25</v>
      </c>
      <c r="H51" s="142" t="s">
        <v>173</v>
      </c>
      <c r="I51" s="26"/>
    </row>
    <row r="52" spans="1:9" ht="13.8" x14ac:dyDescent="0.3">
      <c r="A52" s="34"/>
      <c r="B52" s="36" t="s">
        <v>190</v>
      </c>
      <c r="C52" s="31">
        <f>IF(Info!B$10=2,Summary!R10,Summary!Q10)</f>
        <v>61100009</v>
      </c>
      <c r="D52" s="31">
        <v>4</v>
      </c>
      <c r="E52" s="41"/>
      <c r="F52" s="35">
        <f>IF(VLOOKUP(Info!B9,Data!B:AS,38,FALSE)&lt;0, -VLOOKUP(Info!B9,Data!B:AS,38,FALSE),0)</f>
        <v>4053</v>
      </c>
      <c r="G52" s="142" t="s">
        <v>25</v>
      </c>
      <c r="H52" s="142" t="s">
        <v>173</v>
      </c>
      <c r="I52" s="26"/>
    </row>
    <row r="53" spans="1:9" ht="13.8" x14ac:dyDescent="0.3">
      <c r="A53" s="34"/>
      <c r="B53" s="36" t="s">
        <v>191</v>
      </c>
      <c r="C53" s="31">
        <f>IF(Info!B$10=2,Summary!R11,Summary!Q11)</f>
        <v>71100011</v>
      </c>
      <c r="D53" s="31">
        <v>8</v>
      </c>
      <c r="E53" s="41"/>
      <c r="F53" s="35">
        <f>IF(VLOOKUP(Info!B9,Data!B:AU,46,FALSE)&gt;0, VLOOKUP(Info!B9,Data!B:AU,46,FALSE),0)</f>
        <v>0</v>
      </c>
      <c r="G53" s="142" t="s">
        <v>26</v>
      </c>
      <c r="H53" s="142" t="s">
        <v>131</v>
      </c>
      <c r="I53" s="26"/>
    </row>
    <row r="54" spans="1:9" ht="13.8" x14ac:dyDescent="0.3">
      <c r="A54" s="34"/>
      <c r="B54" s="36" t="s">
        <v>190</v>
      </c>
      <c r="C54" s="31">
        <f>IF(Info!B$10=2,Summary!R10,Summary!Q10)</f>
        <v>61100009</v>
      </c>
      <c r="D54" s="31">
        <v>3</v>
      </c>
      <c r="E54" s="41"/>
      <c r="F54" s="35">
        <f>IF(VLOOKUP(Info!B9,Data!B:AU,45,FALSE)&lt;0, -VLOOKUP(Info!B9,Data!B:AU,45,FALSE),0)</f>
        <v>85701</v>
      </c>
      <c r="G54" s="142" t="s">
        <v>26</v>
      </c>
      <c r="H54" s="142" t="s">
        <v>131</v>
      </c>
      <c r="I54" s="26"/>
    </row>
    <row r="55" spans="1:9" ht="13.8" x14ac:dyDescent="0.3">
      <c r="A55" s="34"/>
      <c r="B55" s="36" t="s">
        <v>190</v>
      </c>
      <c r="C55" s="31">
        <f>IF(Info!B$10=2,Summary!R10,Summary!Q10)</f>
        <v>61100009</v>
      </c>
      <c r="D55" s="31"/>
      <c r="E55" s="41"/>
      <c r="F55" s="35">
        <f>E14</f>
        <v>267653</v>
      </c>
      <c r="G55" s="142" t="s">
        <v>170</v>
      </c>
      <c r="H55" s="142" t="s">
        <v>151</v>
      </c>
      <c r="I55" s="142" t="s">
        <v>130</v>
      </c>
    </row>
    <row r="56" spans="1:9" ht="13.8" x14ac:dyDescent="0.3">
      <c r="A56" s="34"/>
      <c r="B56" s="30" t="s">
        <v>227</v>
      </c>
      <c r="C56" s="31"/>
      <c r="D56" s="31"/>
      <c r="E56" s="42">
        <f>SUM(E33:E55)</f>
        <v>892758</v>
      </c>
      <c r="F56" s="42">
        <f>SUM(F34:F55)</f>
        <v>892758</v>
      </c>
      <c r="G56" s="26"/>
      <c r="H56" s="26"/>
      <c r="I56" s="26"/>
    </row>
    <row r="57" spans="1:9" ht="13.8" x14ac:dyDescent="0.3">
      <c r="A57" s="34"/>
      <c r="B57" s="30" t="s">
        <v>194</v>
      </c>
      <c r="C57" s="31"/>
      <c r="D57" s="31"/>
      <c r="E57" s="35"/>
      <c r="F57" s="41"/>
      <c r="G57" s="26"/>
      <c r="H57" s="26"/>
      <c r="I57" s="26"/>
    </row>
    <row r="58" spans="1:9" ht="3" customHeight="1" x14ac:dyDescent="0.3">
      <c r="A58" s="34"/>
      <c r="B58" s="37"/>
      <c r="C58" s="31"/>
      <c r="D58" s="31"/>
      <c r="E58" s="35"/>
      <c r="F58" s="41"/>
      <c r="G58" s="26"/>
      <c r="H58" s="26"/>
      <c r="I58" s="26"/>
    </row>
    <row r="59" spans="1:9" ht="13.8" x14ac:dyDescent="0.3">
      <c r="A59" s="34"/>
      <c r="B59" s="48" t="s">
        <v>134</v>
      </c>
      <c r="C59" s="32"/>
      <c r="D59" s="32"/>
      <c r="E59" s="35"/>
      <c r="F59" s="35"/>
      <c r="G59" s="26"/>
      <c r="H59" s="26"/>
      <c r="I59" s="26"/>
    </row>
    <row r="60" spans="1:9" ht="13.8" x14ac:dyDescent="0.3">
      <c r="A60" s="34">
        <v>3</v>
      </c>
      <c r="B60" s="135" t="s">
        <v>537</v>
      </c>
      <c r="C60" s="31">
        <f>IF(Info!B$10=2,Summary!R10,Summary!Q10)</f>
        <v>61100009</v>
      </c>
      <c r="D60" s="31">
        <v>5</v>
      </c>
      <c r="E60" s="49">
        <v>0</v>
      </c>
      <c r="F60" s="35"/>
      <c r="G60" s="143" t="s">
        <v>539</v>
      </c>
      <c r="H60" s="144" t="str">
        <f>IF(E60=0,"ERROR – Enter Amount"," ")</f>
        <v>ERROR – Enter Amount</v>
      </c>
      <c r="I60" s="26"/>
    </row>
    <row r="61" spans="1:9" ht="13.8" x14ac:dyDescent="0.3">
      <c r="A61" s="34"/>
      <c r="B61" s="36" t="s">
        <v>195</v>
      </c>
      <c r="C61" s="31">
        <f>IF(Info!B$10=2,Summary!R13,Summary!Q13)</f>
        <v>51520000</v>
      </c>
      <c r="D61" s="31"/>
      <c r="E61" s="35"/>
      <c r="F61" s="35">
        <f>E60</f>
        <v>0</v>
      </c>
      <c r="G61" s="142" t="s">
        <v>15</v>
      </c>
      <c r="H61" s="142" t="s">
        <v>181</v>
      </c>
      <c r="I61" s="26"/>
    </row>
    <row r="62" spans="1:9" ht="13.8" x14ac:dyDescent="0.3">
      <c r="A62" s="34"/>
      <c r="B62" s="30" t="s">
        <v>196</v>
      </c>
      <c r="C62" s="31"/>
      <c r="D62" s="31"/>
      <c r="E62" s="42">
        <f>SUM(E60:E61)</f>
        <v>0</v>
      </c>
      <c r="F62" s="42">
        <f>SUM(F60:F61)</f>
        <v>0</v>
      </c>
      <c r="G62" s="26"/>
      <c r="H62" s="26"/>
      <c r="I62" s="26"/>
    </row>
    <row r="63" spans="1:9" ht="12.6" customHeight="1" x14ac:dyDescent="0.3">
      <c r="A63" s="34"/>
      <c r="B63" s="122" t="s">
        <v>197</v>
      </c>
      <c r="C63" s="31"/>
      <c r="D63" s="31"/>
      <c r="E63" s="35"/>
      <c r="F63" s="35"/>
      <c r="G63" s="26"/>
      <c r="H63" s="26"/>
      <c r="I63" s="26"/>
    </row>
    <row r="64" spans="1:9" ht="12.6" customHeight="1" x14ac:dyDescent="0.3">
      <c r="A64" s="34"/>
      <c r="B64" s="230" t="s">
        <v>538</v>
      </c>
      <c r="C64" s="31"/>
      <c r="D64" s="31"/>
      <c r="E64" s="35"/>
      <c r="F64" s="35"/>
      <c r="G64" s="26"/>
      <c r="H64" s="26"/>
      <c r="I64" s="26"/>
    </row>
    <row r="65" spans="1:13" ht="13.8" x14ac:dyDescent="0.3">
      <c r="A65" s="34"/>
      <c r="B65" s="154"/>
      <c r="C65" s="31"/>
      <c r="D65" s="31"/>
      <c r="E65" s="147"/>
      <c r="F65" s="147"/>
      <c r="G65" s="26"/>
      <c r="H65" s="26"/>
      <c r="I65" s="26"/>
    </row>
    <row r="66" spans="1:13" ht="13.8" x14ac:dyDescent="0.3">
      <c r="A66" s="58"/>
      <c r="B66" s="59"/>
      <c r="C66" s="17"/>
      <c r="D66" s="17"/>
      <c r="E66" s="60"/>
      <c r="F66" s="60"/>
    </row>
    <row r="67" spans="1:13" ht="15.9" customHeight="1" x14ac:dyDescent="0.3">
      <c r="A67" s="254" t="s">
        <v>3</v>
      </c>
      <c r="B67" s="255"/>
      <c r="C67" s="17"/>
      <c r="D67" s="17"/>
      <c r="E67" s="60"/>
      <c r="F67" s="60"/>
    </row>
    <row r="68" spans="1:13" ht="54.9" customHeight="1" x14ac:dyDescent="0.25">
      <c r="A68" s="61" t="s">
        <v>175</v>
      </c>
      <c r="B68" s="256" t="s">
        <v>198</v>
      </c>
      <c r="C68" s="256"/>
      <c r="D68" s="256"/>
      <c r="E68" s="256"/>
      <c r="F68" s="256"/>
      <c r="G68" s="256"/>
      <c r="H68" s="62"/>
      <c r="I68" s="67"/>
    </row>
    <row r="69" spans="1:13" ht="6" customHeight="1" x14ac:dyDescent="0.3">
      <c r="A69" s="63"/>
      <c r="B69" s="64"/>
      <c r="C69" s="65"/>
      <c r="D69" s="65"/>
      <c r="E69" s="65"/>
      <c r="F69" s="65"/>
      <c r="G69" s="65"/>
      <c r="H69" s="65"/>
    </row>
    <row r="70" spans="1:13" ht="29.1" customHeight="1" x14ac:dyDescent="0.25">
      <c r="A70" s="61" t="s">
        <v>176</v>
      </c>
      <c r="B70" s="259" t="s">
        <v>199</v>
      </c>
      <c r="C70" s="258"/>
      <c r="D70" s="258"/>
      <c r="E70" s="258"/>
      <c r="F70" s="258"/>
      <c r="G70" s="258"/>
      <c r="H70" s="67"/>
      <c r="I70" s="62"/>
    </row>
    <row r="71" spans="1:13" ht="6" customHeight="1" x14ac:dyDescent="0.3">
      <c r="A71" s="63"/>
      <c r="B71" s="64"/>
      <c r="C71" s="65"/>
      <c r="D71" s="65"/>
      <c r="E71" s="65"/>
      <c r="F71" s="65"/>
      <c r="G71" s="65"/>
      <c r="H71" s="65"/>
    </row>
    <row r="72" spans="1:13" ht="67.2" customHeight="1" x14ac:dyDescent="0.25">
      <c r="A72" s="61" t="s">
        <v>17</v>
      </c>
      <c r="B72" s="256" t="s">
        <v>200</v>
      </c>
      <c r="C72" s="258"/>
      <c r="D72" s="258"/>
      <c r="E72" s="258"/>
      <c r="F72" s="258"/>
      <c r="G72" s="258"/>
      <c r="H72" s="67"/>
      <c r="I72" s="62"/>
    </row>
    <row r="73" spans="1:13" ht="6" customHeight="1" x14ac:dyDescent="0.3">
      <c r="A73" s="63"/>
      <c r="B73" s="62"/>
      <c r="C73" s="62"/>
      <c r="D73" s="62"/>
      <c r="E73" s="62"/>
      <c r="F73" s="62"/>
      <c r="G73" s="62"/>
      <c r="H73" s="62"/>
    </row>
    <row r="74" spans="1:13" ht="15" customHeight="1" x14ac:dyDescent="0.25">
      <c r="A74" s="61" t="s">
        <v>18</v>
      </c>
      <c r="B74" s="259" t="s">
        <v>201</v>
      </c>
      <c r="C74" s="258"/>
      <c r="D74" s="258"/>
      <c r="E74" s="258"/>
      <c r="F74" s="258"/>
      <c r="G74" s="258"/>
      <c r="H74" s="67"/>
      <c r="I74" s="65"/>
    </row>
    <row r="75" spans="1:13" ht="6" customHeight="1" x14ac:dyDescent="0.3">
      <c r="A75" s="63"/>
      <c r="B75" s="65"/>
      <c r="C75" s="62"/>
      <c r="D75" s="62"/>
      <c r="E75" s="62"/>
      <c r="F75" s="62"/>
      <c r="G75" s="62"/>
      <c r="H75" s="62"/>
    </row>
    <row r="76" spans="1:13" ht="54" customHeight="1" x14ac:dyDescent="0.25">
      <c r="A76" s="61" t="s">
        <v>177</v>
      </c>
      <c r="B76" s="256" t="s">
        <v>202</v>
      </c>
      <c r="C76" s="256"/>
      <c r="D76" s="256"/>
      <c r="E76" s="256"/>
      <c r="F76" s="256"/>
      <c r="G76" s="256"/>
      <c r="H76" s="66"/>
    </row>
    <row r="77" spans="1:13" ht="6" customHeight="1" x14ac:dyDescent="0.3">
      <c r="A77" s="63"/>
      <c r="B77" s="62"/>
      <c r="C77" s="62"/>
      <c r="D77" s="62"/>
      <c r="E77" s="62"/>
      <c r="F77" s="62"/>
      <c r="G77" s="62"/>
      <c r="H77" s="62"/>
      <c r="J77" s="20"/>
      <c r="L77" s="21"/>
      <c r="M77" s="21"/>
    </row>
    <row r="78" spans="1:13" ht="81.900000000000006" customHeight="1" x14ac:dyDescent="0.3">
      <c r="A78" s="68" t="s">
        <v>178</v>
      </c>
      <c r="B78" s="256" t="s">
        <v>203</v>
      </c>
      <c r="C78" s="257"/>
      <c r="D78" s="257"/>
      <c r="E78" s="257"/>
      <c r="F78" s="257"/>
      <c r="G78" s="257"/>
      <c r="H78" s="62"/>
      <c r="L78" s="21"/>
      <c r="M78" s="21"/>
    </row>
    <row r="79" spans="1:13" ht="6" customHeight="1" x14ac:dyDescent="0.3">
      <c r="A79" s="63"/>
      <c r="B79" s="62"/>
      <c r="C79" s="62"/>
      <c r="D79" s="62"/>
      <c r="E79" s="62"/>
      <c r="F79" s="62"/>
      <c r="G79" s="62"/>
      <c r="H79" s="62"/>
      <c r="J79" s="20"/>
      <c r="L79" s="21"/>
      <c r="M79" s="21"/>
    </row>
    <row r="80" spans="1:13" ht="95.1" customHeight="1" x14ac:dyDescent="0.3">
      <c r="A80" s="61" t="s">
        <v>179</v>
      </c>
      <c r="B80" s="256" t="s">
        <v>207</v>
      </c>
      <c r="C80" s="258"/>
      <c r="D80" s="258"/>
      <c r="E80" s="258"/>
      <c r="F80" s="258"/>
      <c r="G80" s="258"/>
      <c r="H80" s="67"/>
      <c r="J80" s="20"/>
      <c r="L80" s="21"/>
      <c r="M80" s="21"/>
    </row>
    <row r="81" spans="1:13" ht="6" customHeight="1" x14ac:dyDescent="0.3">
      <c r="A81" s="63"/>
      <c r="B81" s="62"/>
      <c r="C81" s="62"/>
      <c r="D81" s="62"/>
      <c r="E81" s="62"/>
      <c r="F81" s="62"/>
      <c r="G81" s="62"/>
      <c r="H81" s="62"/>
      <c r="J81" s="20"/>
      <c r="L81" s="21"/>
      <c r="M81" s="21"/>
    </row>
    <row r="82" spans="1:13" ht="27" customHeight="1" x14ac:dyDescent="0.3">
      <c r="A82" s="68" t="s">
        <v>180</v>
      </c>
      <c r="B82" s="259" t="s">
        <v>204</v>
      </c>
      <c r="C82" s="258"/>
      <c r="D82" s="258"/>
      <c r="E82" s="258"/>
      <c r="F82" s="258"/>
      <c r="G82" s="258"/>
      <c r="H82" s="67"/>
      <c r="J82" s="20"/>
      <c r="L82" s="21"/>
      <c r="M82" s="21"/>
    </row>
    <row r="83" spans="1:13" ht="6" customHeight="1" x14ac:dyDescent="0.3">
      <c r="A83" s="63"/>
      <c r="B83" s="62"/>
      <c r="C83" s="62"/>
      <c r="D83" s="62"/>
      <c r="E83" s="62"/>
      <c r="F83" s="62"/>
      <c r="G83" s="62"/>
      <c r="H83" s="62"/>
      <c r="J83" s="20"/>
      <c r="L83" s="21"/>
      <c r="M83" s="21"/>
    </row>
    <row r="84" spans="1:13" s="22" customFormat="1" ht="27" customHeight="1" x14ac:dyDescent="0.3">
      <c r="A84" s="68" t="s">
        <v>181</v>
      </c>
      <c r="B84" s="259" t="s">
        <v>205</v>
      </c>
      <c r="C84" s="258"/>
      <c r="D84" s="258"/>
      <c r="E84" s="258"/>
      <c r="F84" s="258"/>
      <c r="G84" s="258"/>
      <c r="H84" s="67"/>
      <c r="J84" s="23"/>
      <c r="L84" s="24"/>
      <c r="M84" s="24"/>
    </row>
    <row r="85" spans="1:13" s="22" customFormat="1" ht="6" customHeight="1" x14ac:dyDescent="0.3">
      <c r="A85" s="68"/>
      <c r="B85" s="69"/>
      <c r="C85" s="67"/>
      <c r="D85" s="67"/>
      <c r="E85" s="67"/>
      <c r="F85" s="67"/>
      <c r="G85" s="67"/>
      <c r="H85" s="67"/>
      <c r="J85" s="23"/>
      <c r="L85" s="24"/>
      <c r="M85" s="24"/>
    </row>
    <row r="86" spans="1:13" ht="42" customHeight="1" x14ac:dyDescent="0.3">
      <c r="A86" s="68" t="s">
        <v>16</v>
      </c>
      <c r="B86" s="259" t="s">
        <v>206</v>
      </c>
      <c r="C86" s="258"/>
      <c r="D86" s="258"/>
      <c r="E86" s="258"/>
      <c r="F86" s="258"/>
      <c r="G86" s="258"/>
      <c r="J86" s="20"/>
      <c r="L86" s="21"/>
      <c r="M86" s="21"/>
    </row>
    <row r="87" spans="1:13" ht="6" customHeight="1" x14ac:dyDescent="0.3">
      <c r="A87" s="68"/>
      <c r="B87" s="69"/>
      <c r="C87" s="67"/>
      <c r="D87" s="67"/>
      <c r="E87" s="67"/>
      <c r="F87" s="67"/>
      <c r="G87" s="67"/>
      <c r="J87" s="20"/>
      <c r="L87" s="21"/>
      <c r="M87" s="21"/>
    </row>
    <row r="88" spans="1:13" ht="30" customHeight="1" x14ac:dyDescent="0.3">
      <c r="A88" s="68"/>
      <c r="B88" s="259"/>
      <c r="C88" s="258"/>
      <c r="D88" s="258"/>
      <c r="E88" s="258"/>
      <c r="F88" s="258"/>
      <c r="G88" s="258"/>
      <c r="J88" s="20"/>
      <c r="L88" s="21"/>
      <c r="M88" s="21"/>
    </row>
    <row r="95" spans="1:13" ht="13.8" x14ac:dyDescent="0.3">
      <c r="C95" s="19"/>
      <c r="D95" s="19"/>
    </row>
    <row r="96" spans="1:13" ht="13.8" x14ac:dyDescent="0.3">
      <c r="C96" s="19"/>
      <c r="D96" s="19"/>
    </row>
    <row r="97" spans="3:4" ht="13.8" x14ac:dyDescent="0.3">
      <c r="C97" s="19"/>
      <c r="D97" s="19"/>
    </row>
    <row r="98" spans="3:4" ht="13.8" x14ac:dyDescent="0.3">
      <c r="C98" s="19"/>
      <c r="D98" s="19"/>
    </row>
    <row r="99" spans="3:4" ht="13.8" x14ac:dyDescent="0.3">
      <c r="C99" s="19"/>
      <c r="D99" s="19"/>
    </row>
    <row r="100" spans="3:4" ht="13.8" x14ac:dyDescent="0.3">
      <c r="C100" s="18"/>
      <c r="D100" s="18"/>
    </row>
    <row r="101" spans="3:4" ht="13.8" x14ac:dyDescent="0.3">
      <c r="C101" s="25"/>
      <c r="D101" s="25"/>
    </row>
    <row r="102" spans="3:4" ht="13.8" x14ac:dyDescent="0.3">
      <c r="C102" s="17"/>
      <c r="D102" s="17"/>
    </row>
    <row r="103" spans="3:4" ht="13.8" x14ac:dyDescent="0.3">
      <c r="C103" s="16"/>
      <c r="D103" s="16"/>
    </row>
    <row r="104" spans="3:4" ht="13.8" x14ac:dyDescent="0.3">
      <c r="C104" s="19"/>
      <c r="D104" s="19"/>
    </row>
    <row r="105" spans="3:4" ht="13.8" x14ac:dyDescent="0.3">
      <c r="C105" s="17"/>
      <c r="D105" s="17"/>
    </row>
    <row r="106" spans="3:4" ht="13.8" x14ac:dyDescent="0.3">
      <c r="C106" s="16"/>
      <c r="D106" s="16"/>
    </row>
    <row r="107" spans="3:4" ht="13.8" x14ac:dyDescent="0.3">
      <c r="C107" s="17"/>
      <c r="D107" s="17"/>
    </row>
    <row r="108" spans="3:4" ht="13.8" x14ac:dyDescent="0.3">
      <c r="C108" s="17"/>
      <c r="D108" s="17"/>
    </row>
    <row r="109" spans="3:4" ht="13.8" x14ac:dyDescent="0.3">
      <c r="C109" s="19"/>
      <c r="D109" s="19"/>
    </row>
    <row r="110" spans="3:4" ht="13.8" x14ac:dyDescent="0.3">
      <c r="C110" s="17"/>
      <c r="D110" s="17"/>
    </row>
    <row r="111" spans="3:4" ht="13.8" x14ac:dyDescent="0.3">
      <c r="C111" s="19"/>
      <c r="D111" s="19"/>
    </row>
    <row r="112" spans="3:4" ht="13.8" x14ac:dyDescent="0.3">
      <c r="C112" s="16"/>
      <c r="D112" s="16"/>
    </row>
    <row r="113" spans="3:4" ht="13.8" x14ac:dyDescent="0.3">
      <c r="C113" s="17"/>
      <c r="D113" s="17"/>
    </row>
    <row r="114" spans="3:4" ht="13.8" x14ac:dyDescent="0.3">
      <c r="C114" s="17"/>
      <c r="D114" s="17"/>
    </row>
    <row r="115" spans="3:4" ht="13.8" x14ac:dyDescent="0.3">
      <c r="C115" s="19"/>
      <c r="D115" s="19"/>
    </row>
    <row r="116" spans="3:4" ht="13.8" x14ac:dyDescent="0.3">
      <c r="C116" s="17"/>
      <c r="D116" s="17"/>
    </row>
    <row r="117" spans="3:4" ht="13.8" x14ac:dyDescent="0.3">
      <c r="C117" s="16"/>
      <c r="D117" s="16"/>
    </row>
    <row r="118" spans="3:4" ht="13.8" x14ac:dyDescent="0.3">
      <c r="C118" s="19"/>
      <c r="D118" s="19"/>
    </row>
    <row r="119" spans="3:4" ht="13.8" x14ac:dyDescent="0.3">
      <c r="C119" s="17"/>
      <c r="D119" s="17"/>
    </row>
    <row r="120" spans="3:4" ht="13.8" x14ac:dyDescent="0.3">
      <c r="C120" s="17"/>
      <c r="D120" s="17"/>
    </row>
    <row r="121" spans="3:4" ht="13.8" x14ac:dyDescent="0.3">
      <c r="C121" s="16"/>
      <c r="D121" s="16"/>
    </row>
    <row r="122" spans="3:4" ht="13.8" x14ac:dyDescent="0.3">
      <c r="C122" s="19"/>
      <c r="D122" s="19"/>
    </row>
    <row r="123" spans="3:4" ht="13.8" x14ac:dyDescent="0.3">
      <c r="C123" s="19"/>
      <c r="D123" s="19"/>
    </row>
    <row r="124" spans="3:4" ht="13.8" x14ac:dyDescent="0.3">
      <c r="C124" s="19"/>
      <c r="D124" s="19"/>
    </row>
    <row r="125" spans="3:4" ht="13.8" x14ac:dyDescent="0.3">
      <c r="C125" s="19"/>
      <c r="D125" s="19"/>
    </row>
    <row r="126" spans="3:4" ht="13.8" x14ac:dyDescent="0.3">
      <c r="C126" s="19"/>
      <c r="D126" s="19"/>
    </row>
    <row r="127" spans="3:4" ht="13.8" x14ac:dyDescent="0.3">
      <c r="C127" s="19"/>
      <c r="D127" s="19"/>
    </row>
    <row r="128" spans="3:4" ht="13.8" x14ac:dyDescent="0.3">
      <c r="C128" s="19"/>
      <c r="D128" s="19"/>
    </row>
    <row r="129" spans="3:4" ht="13.8" x14ac:dyDescent="0.3">
      <c r="C129" s="16"/>
      <c r="D129" s="16"/>
    </row>
    <row r="130" spans="3:4" ht="13.8" x14ac:dyDescent="0.3">
      <c r="C130" s="19"/>
      <c r="D130" s="19"/>
    </row>
    <row r="131" spans="3:4" ht="13.8" x14ac:dyDescent="0.3">
      <c r="C131" s="19"/>
      <c r="D131" s="19"/>
    </row>
    <row r="132" spans="3:4" ht="13.8" x14ac:dyDescent="0.3">
      <c r="C132" s="19"/>
      <c r="D132" s="19"/>
    </row>
    <row r="133" spans="3:4" ht="13.8" x14ac:dyDescent="0.3">
      <c r="C133" s="19"/>
      <c r="D133" s="19"/>
    </row>
    <row r="134" spans="3:4" ht="13.8" x14ac:dyDescent="0.3">
      <c r="C134" s="19"/>
      <c r="D134" s="19"/>
    </row>
    <row r="135" spans="3:4" ht="13.8" x14ac:dyDescent="0.3">
      <c r="C135" s="16"/>
      <c r="D135" s="16"/>
    </row>
    <row r="136" spans="3:4" ht="13.8" x14ac:dyDescent="0.3">
      <c r="C136" s="19"/>
      <c r="D136" s="19"/>
    </row>
    <row r="137" spans="3:4" ht="13.8" x14ac:dyDescent="0.3">
      <c r="C137" s="17"/>
      <c r="D137" s="17"/>
    </row>
    <row r="138" spans="3:4" ht="13.8" x14ac:dyDescent="0.3">
      <c r="C138" s="19"/>
      <c r="D138" s="19"/>
    </row>
    <row r="139" spans="3:4" ht="13.8" x14ac:dyDescent="0.3">
      <c r="C139" s="19"/>
      <c r="D139" s="19"/>
    </row>
    <row r="140" spans="3:4" ht="13.8" x14ac:dyDescent="0.3">
      <c r="C140" s="19"/>
      <c r="D140" s="19"/>
    </row>
    <row r="141" spans="3:4" ht="13.8" x14ac:dyDescent="0.3">
      <c r="C141" s="19"/>
      <c r="D141" s="19"/>
    </row>
    <row r="142" spans="3:4" ht="13.8" x14ac:dyDescent="0.3">
      <c r="C142" s="19"/>
      <c r="D142" s="19"/>
    </row>
    <row r="143" spans="3:4" ht="13.8" x14ac:dyDescent="0.3">
      <c r="C143" s="16"/>
      <c r="D143" s="16"/>
    </row>
    <row r="144" spans="3:4" ht="13.8" x14ac:dyDescent="0.3">
      <c r="C144" s="19"/>
      <c r="D144" s="19"/>
    </row>
    <row r="145" spans="3:4" ht="13.8" x14ac:dyDescent="0.3">
      <c r="C145" s="19"/>
      <c r="D145" s="19"/>
    </row>
    <row r="146" spans="3:4" ht="13.8" x14ac:dyDescent="0.3">
      <c r="C146" s="17"/>
      <c r="D146" s="17"/>
    </row>
    <row r="147" spans="3:4" ht="13.8" x14ac:dyDescent="0.3">
      <c r="C147" s="17"/>
      <c r="D147" s="17"/>
    </row>
    <row r="148" spans="3:4" ht="13.8" x14ac:dyDescent="0.3">
      <c r="C148" s="17"/>
      <c r="D148" s="17"/>
    </row>
    <row r="149" spans="3:4" ht="13.8" x14ac:dyDescent="0.3">
      <c r="C149" s="19"/>
      <c r="D149" s="19"/>
    </row>
    <row r="150" spans="3:4" ht="13.8" x14ac:dyDescent="0.3">
      <c r="C150" s="17"/>
      <c r="D150" s="17"/>
    </row>
    <row r="151" spans="3:4" ht="13.8" x14ac:dyDescent="0.3">
      <c r="C151" s="19"/>
      <c r="D151" s="19"/>
    </row>
    <row r="152" spans="3:4" ht="13.8" x14ac:dyDescent="0.3">
      <c r="C152" s="17"/>
      <c r="D152" s="17"/>
    </row>
    <row r="153" spans="3:4" ht="13.8" x14ac:dyDescent="0.3">
      <c r="C153" s="17"/>
      <c r="D153" s="17"/>
    </row>
    <row r="154" spans="3:4" ht="13.8" x14ac:dyDescent="0.3">
      <c r="C154" s="17"/>
      <c r="D154" s="17"/>
    </row>
  </sheetData>
  <sheetProtection algorithmName="SHA-512" hashValue="wlAbIcGJvW6kaQuSeBl/r5VVaQ2cXGaCJ0pBRt8fV4KDNaHADuqFzJDJ7dXvsVrG8dISVXL/bA2fqjeaFt+1ZA==" saltValue="4fUS4awhruJwkzv/MEsWyg==" spinCount="100000" sheet="1" objects="1" scenarios="1"/>
  <mergeCells count="12">
    <mergeCell ref="B88:G88"/>
    <mergeCell ref="B74:G74"/>
    <mergeCell ref="B86:G86"/>
    <mergeCell ref="B76:G76"/>
    <mergeCell ref="B80:G80"/>
    <mergeCell ref="B84:G84"/>
    <mergeCell ref="A67:B67"/>
    <mergeCell ref="B78:G78"/>
    <mergeCell ref="B72:G72"/>
    <mergeCell ref="B82:G82"/>
    <mergeCell ref="B70:G70"/>
    <mergeCell ref="B68:G68"/>
  </mergeCells>
  <phoneticPr fontId="11" type="noConversion"/>
  <conditionalFormatting sqref="H60">
    <cfRule type="expression" dxfId="0" priority="1">
      <formula>$E$60=0</formula>
    </cfRule>
  </conditionalFormatting>
  <pageMargins left="0.5" right="0.5" top="0.2" bottom="0.2" header="0.5" footer="0.15"/>
  <pageSetup orientation="landscape" r:id="rId1"/>
  <headerFooter alignWithMargins="0"/>
  <rowBreaks count="1" manualBreakCount="1">
    <brk id="66" max="8" man="1"/>
  </rowBreaks>
  <ignoredErrors>
    <ignoredError sqref="C27:C28 C47:C55 C30:C33 C35:C45"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U31"/>
  <sheetViews>
    <sheetView showGridLines="0" workbookViewId="0">
      <selection activeCell="E12" sqref="E12"/>
    </sheetView>
  </sheetViews>
  <sheetFormatPr defaultRowHeight="13.2" x14ac:dyDescent="0.25"/>
  <cols>
    <col min="1" max="1" width="36.6640625" customWidth="1"/>
    <col min="2" max="2" width="1.33203125" customWidth="1"/>
    <col min="3" max="3" width="9.88671875" bestFit="1" customWidth="1"/>
    <col min="4" max="4" width="1.33203125" customWidth="1"/>
    <col min="5" max="5" width="14.6640625" customWidth="1"/>
    <col min="6" max="6" width="1.33203125" customWidth="1"/>
    <col min="7" max="7" width="14.6640625" customWidth="1"/>
    <col min="8" max="8" width="1.33203125" customWidth="1"/>
    <col min="9" max="9" width="14.6640625" customWidth="1"/>
    <col min="10" max="10" width="6.6640625" customWidth="1"/>
    <col min="11" max="11" width="12.6640625" customWidth="1"/>
    <col min="12" max="12" width="1.33203125" customWidth="1"/>
    <col min="13" max="13" width="12.6640625" customWidth="1"/>
    <col min="14" max="14" width="1.33203125" customWidth="1"/>
    <col min="15" max="15" width="12.6640625" customWidth="1"/>
    <col min="16" max="16" width="4.6640625" customWidth="1"/>
    <col min="17" max="18" width="9.109375" hidden="1" customWidth="1"/>
  </cols>
  <sheetData>
    <row r="1" spans="1:21" x14ac:dyDescent="0.25">
      <c r="A1" s="51" t="str">
        <f>Info!B5</f>
        <v>APPALACHIAN STATE UNIVERSITY</v>
      </c>
      <c r="B1" s="51"/>
      <c r="C1" s="15"/>
      <c r="D1" s="15"/>
      <c r="E1" s="15"/>
      <c r="F1" s="15"/>
      <c r="G1" s="15"/>
      <c r="H1" s="15"/>
      <c r="I1" s="15"/>
      <c r="K1" s="1"/>
    </row>
    <row r="2" spans="1:21" ht="15" customHeight="1" x14ac:dyDescent="0.25">
      <c r="A2" s="52" t="s">
        <v>189</v>
      </c>
      <c r="B2" s="52"/>
      <c r="C2" s="15"/>
      <c r="D2" s="15"/>
      <c r="E2" s="15"/>
      <c r="F2" s="15"/>
      <c r="H2" s="15"/>
      <c r="I2" s="15"/>
    </row>
    <row r="3" spans="1:21" ht="15" customHeight="1" x14ac:dyDescent="0.25">
      <c r="A3" s="51" t="s">
        <v>527</v>
      </c>
      <c r="B3" s="51"/>
      <c r="C3" s="15"/>
      <c r="D3" s="15"/>
      <c r="E3" s="15"/>
      <c r="F3" s="15"/>
      <c r="G3" s="15"/>
      <c r="H3" s="15"/>
    </row>
    <row r="4" spans="1:21" ht="15" customHeight="1" x14ac:dyDescent="0.3">
      <c r="A4" s="51"/>
      <c r="B4" s="51"/>
      <c r="C4" s="15"/>
      <c r="D4" s="15"/>
      <c r="E4" s="15"/>
      <c r="F4" s="15"/>
      <c r="G4" s="86"/>
      <c r="H4" s="15"/>
    </row>
    <row r="5" spans="1:21" ht="15" customHeight="1" x14ac:dyDescent="0.25">
      <c r="A5" s="51"/>
      <c r="B5" s="51"/>
      <c r="C5" s="15"/>
      <c r="D5" s="15"/>
      <c r="E5" s="15"/>
      <c r="F5" s="15"/>
      <c r="G5" s="15"/>
      <c r="H5" s="15"/>
      <c r="I5" s="70" t="s">
        <v>139</v>
      </c>
      <c r="K5" s="260"/>
      <c r="L5" s="260"/>
      <c r="M5" s="260"/>
      <c r="N5" s="260"/>
      <c r="O5" s="260"/>
      <c r="P5" s="123"/>
      <c r="Q5" s="123"/>
      <c r="R5" s="123"/>
      <c r="S5" s="123"/>
      <c r="T5" s="123"/>
      <c r="U5" s="123"/>
    </row>
    <row r="6" spans="1:21" ht="15" customHeight="1" x14ac:dyDescent="0.25">
      <c r="A6" s="15"/>
      <c r="B6" s="15"/>
      <c r="C6" s="77" t="str">
        <f>IF(Info!B$10=2,"Colleague","NCFS")</f>
        <v>NCFS</v>
      </c>
      <c r="D6" s="15"/>
      <c r="E6" s="15"/>
      <c r="F6" s="15"/>
      <c r="G6" s="15"/>
      <c r="H6" s="15"/>
      <c r="I6" s="70" t="s">
        <v>149</v>
      </c>
      <c r="K6" s="261"/>
      <c r="L6" s="261"/>
      <c r="M6" s="261"/>
      <c r="N6" s="261"/>
      <c r="O6" s="261"/>
      <c r="Q6" s="163" t="s">
        <v>237</v>
      </c>
    </row>
    <row r="7" spans="1:21" ht="15" customHeight="1" x14ac:dyDescent="0.25">
      <c r="A7" s="75" t="s">
        <v>137</v>
      </c>
      <c r="B7" s="76"/>
      <c r="C7" s="75" t="s">
        <v>124</v>
      </c>
      <c r="D7" s="77"/>
      <c r="E7" s="75" t="s">
        <v>0</v>
      </c>
      <c r="F7" s="77"/>
      <c r="G7" s="75" t="s">
        <v>1</v>
      </c>
      <c r="H7" s="77"/>
      <c r="I7" s="71" t="s">
        <v>138</v>
      </c>
      <c r="J7" s="3"/>
      <c r="K7" s="74"/>
      <c r="L7" s="74"/>
      <c r="M7" s="74"/>
      <c r="N7" s="74"/>
      <c r="O7" s="74"/>
      <c r="P7" s="74"/>
      <c r="Q7" s="90" t="s">
        <v>525</v>
      </c>
      <c r="R7" s="89" t="s">
        <v>152</v>
      </c>
    </row>
    <row r="8" spans="1:21" ht="15" customHeight="1" x14ac:dyDescent="0.25">
      <c r="A8" s="78" t="s">
        <v>224</v>
      </c>
      <c r="B8" s="78"/>
      <c r="C8" s="79">
        <f>IF(Info!B$10=2,Summary!R8,Summary!Q8)</f>
        <v>12978000</v>
      </c>
      <c r="D8" s="79"/>
      <c r="E8" s="80">
        <f>SUMIF(Detail!$C$8:$C$64,$C8,Detail!E$8:E$64)</f>
        <v>390532</v>
      </c>
      <c r="F8" s="81"/>
      <c r="G8" s="80">
        <f>SUMIF(Detail!$C$8:$C$64,$C8,Detail!F$8:F$64)</f>
        <v>0</v>
      </c>
      <c r="H8" s="81"/>
      <c r="I8" s="43">
        <f t="shared" ref="I8:I16" si="0">E8-G8</f>
        <v>390532</v>
      </c>
      <c r="J8" s="4"/>
      <c r="K8" s="80"/>
      <c r="L8" s="80"/>
      <c r="M8" s="4"/>
      <c r="O8" s="80"/>
      <c r="Q8" s="202">
        <v>12978000</v>
      </c>
      <c r="R8" s="124">
        <v>142090</v>
      </c>
    </row>
    <row r="9" spans="1:21" ht="15" customHeight="1" x14ac:dyDescent="0.25">
      <c r="A9" s="181" t="s">
        <v>506</v>
      </c>
      <c r="B9" s="181"/>
      <c r="C9" s="182">
        <f>IF(Info!B$10=2,Summary!R9,Summary!Q9)</f>
        <v>22916000</v>
      </c>
      <c r="D9" s="182"/>
      <c r="E9" s="183">
        <f>SUMIF(Detail!$C$8:$C$64,$C9,Detail!E$8:E$64)</f>
        <v>300346</v>
      </c>
      <c r="F9" s="184"/>
      <c r="G9" s="183">
        <f>SUMIF(Detail!$C$8:$C$64,$C9,Detail!F$8:F$64)</f>
        <v>0</v>
      </c>
      <c r="H9" s="184"/>
      <c r="I9" s="183">
        <f t="shared" si="0"/>
        <v>300346</v>
      </c>
      <c r="J9" s="4"/>
      <c r="K9" s="80"/>
      <c r="L9" s="80"/>
      <c r="M9" s="80"/>
      <c r="O9" s="80"/>
      <c r="Q9" s="202">
        <v>22916000</v>
      </c>
      <c r="R9" s="2">
        <v>242081</v>
      </c>
    </row>
    <row r="10" spans="1:21" ht="15" customHeight="1" x14ac:dyDescent="0.25">
      <c r="A10" s="78" t="s">
        <v>190</v>
      </c>
      <c r="B10" s="78"/>
      <c r="C10" s="79">
        <f>IF(Info!B$10=2,Summary!R10,Summary!Q10)</f>
        <v>61100009</v>
      </c>
      <c r="D10" s="79"/>
      <c r="E10" s="47">
        <f>SUMIF(Detail!$C$8:$C$64,$C10,Detail!E$8:E$64)</f>
        <v>0</v>
      </c>
      <c r="F10" s="81"/>
      <c r="G10" s="47">
        <f>SUMIF(Detail!$C$8:$C$64,$C10,Detail!F$8:F$64)</f>
        <v>479242</v>
      </c>
      <c r="H10" s="81"/>
      <c r="I10" s="44">
        <f t="shared" ref="I10" si="1">E10-G10</f>
        <v>-479242</v>
      </c>
      <c r="J10" s="5"/>
      <c r="K10" s="47"/>
      <c r="L10" s="47"/>
      <c r="M10" s="47"/>
      <c r="O10" s="47"/>
      <c r="Q10" s="202">
        <v>61100009</v>
      </c>
      <c r="R10">
        <v>124091</v>
      </c>
    </row>
    <row r="11" spans="1:21" ht="15" customHeight="1" x14ac:dyDescent="0.25">
      <c r="A11" s="78" t="s">
        <v>191</v>
      </c>
      <c r="B11" s="78"/>
      <c r="C11" s="79">
        <f>IF(Info!B$10=2,Summary!R11,Summary!Q11)</f>
        <v>71100011</v>
      </c>
      <c r="D11" s="79"/>
      <c r="E11" s="47">
        <f>SUMIF(Detail!$C$8:$C$64,$C11,Detail!E$8:E$64)</f>
        <v>4200</v>
      </c>
      <c r="F11" s="81"/>
      <c r="G11" s="47">
        <f>SUMIF(Detail!$C$8:$C$64,$C11,Detail!F$8:F$64)</f>
        <v>413516</v>
      </c>
      <c r="H11" s="81"/>
      <c r="I11" s="44">
        <f t="shared" ref="I11" si="2">E11-G11</f>
        <v>-409316</v>
      </c>
      <c r="J11" s="5"/>
      <c r="K11" s="47"/>
      <c r="L11" s="47"/>
      <c r="M11" s="47"/>
      <c r="O11" s="47"/>
      <c r="Q11" s="202">
        <v>71100011</v>
      </c>
      <c r="R11">
        <v>242091</v>
      </c>
    </row>
    <row r="12" spans="1:21" ht="15" customHeight="1" x14ac:dyDescent="0.25">
      <c r="A12" s="78" t="s">
        <v>193</v>
      </c>
      <c r="B12" s="78"/>
      <c r="C12" s="79">
        <f>IF(Info!B$10=2,Summary!R12,Summary!Q12)</f>
        <v>51598000</v>
      </c>
      <c r="D12" s="79"/>
      <c r="E12" s="47">
        <f>SUMIF(Detail!$C$8:$C$64,$C12,Detail!E$8:E$64)</f>
        <v>197680</v>
      </c>
      <c r="F12" s="81"/>
      <c r="G12" s="47">
        <f>SUMIF(Detail!$C$29:$C$64,$C12,Detail!F$29:F$64)</f>
        <v>0</v>
      </c>
      <c r="H12" s="81"/>
      <c r="I12" s="44">
        <f t="shared" si="0"/>
        <v>197680</v>
      </c>
      <c r="J12" s="5"/>
      <c r="K12" s="47"/>
      <c r="L12" s="47"/>
      <c r="M12" s="47"/>
      <c r="O12" s="47"/>
      <c r="Q12" s="202">
        <v>51598000</v>
      </c>
      <c r="R12">
        <v>518251</v>
      </c>
    </row>
    <row r="13" spans="1:21" ht="15" customHeight="1" x14ac:dyDescent="0.25">
      <c r="A13" s="78" t="s">
        <v>195</v>
      </c>
      <c r="B13" s="78"/>
      <c r="C13" s="79">
        <f>IF(Info!B$10=2,Summary!R13,Summary!Q13)</f>
        <v>51520000</v>
      </c>
      <c r="D13" s="79"/>
      <c r="E13" s="47">
        <f>SUMIF(Detail!$C$8:$C$64,$C13,Detail!E$8:E$64)</f>
        <v>0</v>
      </c>
      <c r="F13" s="81"/>
      <c r="G13" s="47">
        <f>SUMIF(Detail!$C$8:$C$64,$C13,Detail!F$8:F$64)</f>
        <v>0</v>
      </c>
      <c r="H13" s="81"/>
      <c r="I13" s="44">
        <f t="shared" si="0"/>
        <v>0</v>
      </c>
      <c r="J13" s="5"/>
      <c r="K13" s="47"/>
      <c r="L13" s="47"/>
      <c r="M13" s="47"/>
      <c r="O13" s="47"/>
      <c r="Q13" s="202">
        <v>51520000</v>
      </c>
      <c r="R13">
        <v>518200</v>
      </c>
    </row>
    <row r="14" spans="1:21" ht="15" customHeight="1" x14ac:dyDescent="0.25">
      <c r="A14" s="78" t="s">
        <v>183</v>
      </c>
      <c r="B14" s="78"/>
      <c r="C14" s="79">
        <f>IF(Info!B$10=2,Summary!R14,Summary!Q14)</f>
        <v>55900000</v>
      </c>
      <c r="D14" s="79"/>
      <c r="E14" s="47">
        <f>SUMIF(Detail!$C$8:$C$64,$C14,Detail!E$8:E$64)</f>
        <v>0</v>
      </c>
      <c r="F14" s="81"/>
      <c r="G14" s="47">
        <f>SUMIF(Detail!$C$8:$C$64,$C14,Detail!F$8:F$64)</f>
        <v>0</v>
      </c>
      <c r="H14" s="81"/>
      <c r="I14" s="44">
        <f t="shared" si="0"/>
        <v>0</v>
      </c>
      <c r="J14" s="5"/>
      <c r="K14" s="47"/>
      <c r="L14" s="47"/>
      <c r="M14" s="47"/>
      <c r="O14" s="47"/>
      <c r="Q14" s="202">
        <v>55900000</v>
      </c>
      <c r="R14">
        <v>539600</v>
      </c>
    </row>
    <row r="15" spans="1:21" ht="15" customHeight="1" x14ac:dyDescent="0.25">
      <c r="A15" s="78" t="s">
        <v>184</v>
      </c>
      <c r="B15" s="78"/>
      <c r="C15" s="139">
        <f>IF(Info!B$10=2,Summary!R15,Summary!Q15)</f>
        <v>47995000</v>
      </c>
      <c r="D15" s="79"/>
      <c r="E15" s="47">
        <f>SUMIF(Detail!$C$8:$C$64,$C15,Detail!E$8:E$64)</f>
        <v>0</v>
      </c>
      <c r="F15" s="81"/>
      <c r="G15" s="47">
        <f>SUMIF(Detail!$C$8:$C$64,$C15,Detail!F$8:F$64)</f>
        <v>0</v>
      </c>
      <c r="H15" s="81"/>
      <c r="I15" s="44">
        <f t="shared" si="0"/>
        <v>0</v>
      </c>
      <c r="J15" s="5"/>
      <c r="K15" s="47"/>
      <c r="L15" s="47"/>
      <c r="M15" s="47"/>
      <c r="O15" s="47"/>
      <c r="Q15" s="202">
        <v>47995000</v>
      </c>
      <c r="R15">
        <v>493200</v>
      </c>
    </row>
    <row r="16" spans="1:21" ht="15" customHeight="1" x14ac:dyDescent="0.25">
      <c r="A16" s="78" t="s">
        <v>123</v>
      </c>
      <c r="B16" s="78"/>
      <c r="C16" s="79">
        <f>IF(Info!B$10=2,Summary!R16,Summary!Q16)</f>
        <v>32000100</v>
      </c>
      <c r="D16" s="79"/>
      <c r="E16" s="47">
        <f>SUMIF(Detail!$C$8:$C$64,$C16,Detail!E$8:E$64)</f>
        <v>0</v>
      </c>
      <c r="F16" s="81"/>
      <c r="G16" s="47">
        <f>SUMIF(Detail!$C$8:$C$64,$C16,Detail!F$8:F$64)</f>
        <v>0</v>
      </c>
      <c r="H16" s="81"/>
      <c r="I16" s="72">
        <f t="shared" si="0"/>
        <v>0</v>
      </c>
      <c r="J16" s="5"/>
      <c r="K16" s="47"/>
      <c r="L16" s="47"/>
      <c r="M16" s="47"/>
      <c r="N16" s="47"/>
      <c r="O16" s="47"/>
      <c r="P16" s="47"/>
      <c r="Q16" s="202">
        <v>32000100</v>
      </c>
      <c r="R16">
        <v>379000</v>
      </c>
    </row>
    <row r="17" spans="1:16" ht="15" customHeight="1" thickBot="1" x14ac:dyDescent="0.3">
      <c r="A17" s="83" t="s">
        <v>4</v>
      </c>
      <c r="B17" s="83"/>
      <c r="C17" s="84"/>
      <c r="D17" s="84"/>
      <c r="E17" s="85">
        <f>SUM(E8:E16)</f>
        <v>892758</v>
      </c>
      <c r="F17" s="81"/>
      <c r="G17" s="85">
        <f>SUM(G8:G16)</f>
        <v>892758</v>
      </c>
      <c r="H17" s="81"/>
      <c r="I17" s="73">
        <f>SUM(I8:I16)</f>
        <v>0</v>
      </c>
      <c r="J17" s="4"/>
      <c r="K17" s="80"/>
      <c r="L17" s="80"/>
      <c r="M17" s="80"/>
      <c r="N17" s="80"/>
      <c r="O17" s="80"/>
      <c r="P17" s="80"/>
    </row>
    <row r="18" spans="1:16" ht="15" customHeight="1" thickTop="1" x14ac:dyDescent="0.25"/>
    <row r="19" spans="1:16" ht="15" customHeight="1" x14ac:dyDescent="0.25">
      <c r="A19" s="140" t="s">
        <v>186</v>
      </c>
    </row>
    <row r="20" spans="1:16" ht="105" customHeight="1" x14ac:dyDescent="0.25">
      <c r="A20" s="262" t="s">
        <v>540</v>
      </c>
      <c r="B20" s="263"/>
      <c r="C20" s="263"/>
      <c r="D20" s="263"/>
      <c r="E20" s="263"/>
      <c r="F20" s="263"/>
      <c r="G20" s="263"/>
      <c r="H20" s="263"/>
      <c r="I20" s="263"/>
    </row>
    <row r="21" spans="1:16" ht="9.9" customHeight="1" x14ac:dyDescent="0.25"/>
    <row r="28" spans="1:16" x14ac:dyDescent="0.25">
      <c r="A28" s="141"/>
    </row>
    <row r="29" spans="1:16" x14ac:dyDescent="0.25">
      <c r="A29" s="141"/>
    </row>
    <row r="30" spans="1:16" x14ac:dyDescent="0.25">
      <c r="A30" s="141"/>
    </row>
    <row r="31" spans="1:16" x14ac:dyDescent="0.25">
      <c r="A31" s="141"/>
    </row>
  </sheetData>
  <sheetProtection algorithmName="SHA-512" hashValue="lAM6g8pTCyPzt6U5mtjx5jxtw5nTEnb6gVI+5QVSSEHAOZ5Q+uSUdddcBdVg9lD18aXXLxSuJj8XcE4R+7bPqQ==" saltValue="O/do6bFUpXw5uknCPf2ufg==" spinCount="100000" sheet="1" objects="1" scenarios="1"/>
  <mergeCells count="3">
    <mergeCell ref="K5:O5"/>
    <mergeCell ref="K6:O6"/>
    <mergeCell ref="A20:I20"/>
  </mergeCells>
  <phoneticPr fontId="11" type="noConversion"/>
  <pageMargins left="0.5" right="0.5" top="0.3" bottom="0.35" header="0.5" footer="0.15"/>
  <pageSetup orientation="portrait" r:id="rId1"/>
  <headerFooter>
    <oddFooter>&amp;L&amp;"Arial Narrow,Regular"&amp;9&amp;Z&amp;F&amp;R&amp;"Arial Narrow,Regular"&amp;9&amp;D</oddFooter>
  </headerFooter>
  <ignoredErrors>
    <ignoredError sqref="G12" 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82"/>
  <sheetViews>
    <sheetView showGridLines="0" workbookViewId="0">
      <selection activeCell="D67" sqref="D67"/>
    </sheetView>
  </sheetViews>
  <sheetFormatPr defaultRowHeight="13.2" x14ac:dyDescent="0.25"/>
  <cols>
    <col min="1" max="1" width="2.6640625" customWidth="1"/>
    <col min="2" max="2" width="35.6640625" customWidth="1"/>
    <col min="3" max="3" width="4.33203125" hidden="1" customWidth="1"/>
    <col min="4" max="4" width="15.6640625" customWidth="1"/>
    <col min="5" max="5" width="1.33203125" customWidth="1"/>
    <col min="6" max="6" width="4.33203125" hidden="1" customWidth="1"/>
    <col min="7" max="7" width="15.6640625" customWidth="1"/>
    <col min="8" max="8" width="4.6640625" customWidth="1"/>
    <col min="9" max="9" width="1.6640625" customWidth="1"/>
    <col min="10" max="10" width="15.5546875" bestFit="1" customWidth="1"/>
    <col min="11" max="11" width="1.6640625" customWidth="1"/>
    <col min="12" max="12" width="11.88671875" bestFit="1" customWidth="1"/>
    <col min="13" max="13" width="1.33203125" customWidth="1"/>
    <col min="14" max="14" width="15.6640625" customWidth="1"/>
    <col min="15" max="15" width="1.33203125" customWidth="1"/>
    <col min="16" max="16" width="15.6640625" customWidth="1"/>
    <col min="17" max="17" width="1.33203125" customWidth="1"/>
    <col min="18" max="18" width="11.88671875" customWidth="1"/>
    <col min="19" max="19" width="1.33203125" customWidth="1"/>
    <col min="20" max="20" width="11.88671875" customWidth="1"/>
    <col min="21" max="21" width="1.33203125" customWidth="1"/>
    <col min="22" max="22" width="11.88671875" customWidth="1"/>
    <col min="23" max="23" width="1.33203125" customWidth="1"/>
    <col min="24" max="24" width="11.88671875" bestFit="1" customWidth="1"/>
    <col min="25" max="25" width="1.33203125" customWidth="1"/>
    <col min="26" max="26" width="10.33203125" bestFit="1" customWidth="1"/>
  </cols>
  <sheetData>
    <row r="1" spans="1:26" x14ac:dyDescent="0.25">
      <c r="A1" s="1" t="str">
        <f>Info!B5</f>
        <v>APPALACHIAN STATE UNIVERSITY</v>
      </c>
    </row>
    <row r="2" spans="1:26" x14ac:dyDescent="0.25">
      <c r="A2" s="1" t="s">
        <v>208</v>
      </c>
    </row>
    <row r="3" spans="1:26" x14ac:dyDescent="0.25">
      <c r="A3" s="1" t="s">
        <v>527</v>
      </c>
    </row>
    <row r="4" spans="1:26" ht="17.399999999999999" x14ac:dyDescent="0.3">
      <c r="A4" s="1"/>
      <c r="G4" s="53"/>
    </row>
    <row r="5" spans="1:26" ht="8.1" customHeight="1" x14ac:dyDescent="0.25">
      <c r="A5" s="1"/>
    </row>
    <row r="6" spans="1:26" x14ac:dyDescent="0.25">
      <c r="A6" s="2" t="s">
        <v>27</v>
      </c>
      <c r="B6" s="92" t="s">
        <v>143</v>
      </c>
      <c r="C6" s="93"/>
      <c r="D6" s="93"/>
      <c r="E6" s="93"/>
      <c r="F6" s="93"/>
      <c r="G6" s="93"/>
      <c r="H6" s="94"/>
    </row>
    <row r="7" spans="1:26" x14ac:dyDescent="0.25">
      <c r="A7" s="2"/>
      <c r="B7" s="95" t="s">
        <v>209</v>
      </c>
      <c r="C7" s="15"/>
      <c r="D7" s="15"/>
      <c r="E7" s="15"/>
      <c r="F7" s="15"/>
      <c r="G7" s="15"/>
      <c r="H7" s="96"/>
      <c r="J7" s="6" t="s">
        <v>30</v>
      </c>
      <c r="K7" s="6"/>
    </row>
    <row r="8" spans="1:26" x14ac:dyDescent="0.25">
      <c r="B8" s="97"/>
      <c r="C8" s="15"/>
      <c r="D8" s="15"/>
      <c r="E8" s="15"/>
      <c r="F8" s="15"/>
      <c r="G8" s="15"/>
      <c r="H8" s="96"/>
      <c r="J8" s="6" t="s">
        <v>142</v>
      </c>
      <c r="K8" s="6"/>
      <c r="L8" s="264"/>
      <c r="M8" s="264"/>
      <c r="N8" s="264"/>
    </row>
    <row r="9" spans="1:26" x14ac:dyDescent="0.25">
      <c r="B9" s="98"/>
      <c r="C9" s="91"/>
      <c r="D9" s="84" t="s">
        <v>6</v>
      </c>
      <c r="E9" s="91"/>
      <c r="F9" s="91"/>
      <c r="G9" s="84" t="s">
        <v>7</v>
      </c>
      <c r="H9" s="96"/>
      <c r="J9" s="6" t="s">
        <v>141</v>
      </c>
      <c r="K9" s="6"/>
      <c r="L9" s="264"/>
      <c r="M9" s="264"/>
      <c r="N9" s="264"/>
      <c r="O9" s="264"/>
      <c r="P9" s="264"/>
      <c r="R9" s="264"/>
      <c r="S9" s="264"/>
      <c r="T9" s="264"/>
      <c r="U9" s="264"/>
      <c r="V9" s="264"/>
      <c r="X9" s="264"/>
      <c r="Y9" s="264"/>
      <c r="Z9" s="264"/>
    </row>
    <row r="10" spans="1:26" x14ac:dyDescent="0.25">
      <c r="B10" s="98"/>
      <c r="C10" s="99" t="s">
        <v>14</v>
      </c>
      <c r="D10" s="100" t="s">
        <v>5</v>
      </c>
      <c r="E10" s="84"/>
      <c r="F10" s="100" t="s">
        <v>14</v>
      </c>
      <c r="G10" s="100" t="s">
        <v>5</v>
      </c>
      <c r="H10" s="96"/>
      <c r="J10" s="11" t="s">
        <v>210</v>
      </c>
      <c r="K10" s="6"/>
      <c r="L10" s="7"/>
      <c r="N10" s="7"/>
      <c r="P10" s="7"/>
      <c r="R10" s="7"/>
      <c r="T10" s="7"/>
      <c r="V10" s="7"/>
      <c r="X10" s="7"/>
      <c r="Z10" s="7"/>
    </row>
    <row r="11" spans="1:26" x14ac:dyDescent="0.25">
      <c r="B11" s="95" t="s">
        <v>8</v>
      </c>
      <c r="C11" s="101"/>
      <c r="D11" s="80"/>
      <c r="E11" s="15"/>
      <c r="F11" s="101"/>
      <c r="G11" s="102"/>
      <c r="H11" s="96"/>
      <c r="J11" s="12"/>
      <c r="K11" s="12"/>
    </row>
    <row r="12" spans="1:26" x14ac:dyDescent="0.25">
      <c r="B12" s="95" t="s">
        <v>9</v>
      </c>
      <c r="C12" s="101">
        <v>1</v>
      </c>
      <c r="D12" s="80">
        <f>Detail!E13+SUMIF(Detail!$D$29:$D$64,$C12,Detail!E$29:E$64)-SUMIF(Detail!$D$29:$D$64,$C12,Detail!F$29:F$64)</f>
        <v>157442</v>
      </c>
      <c r="E12" s="15"/>
      <c r="F12" s="101">
        <v>6</v>
      </c>
      <c r="G12" s="80">
        <f>Detail!F17+SUMIF(Detail!$D$29:$D$64,$F12,Detail!F$29:F$64)-SUMIF(Detail!$D$29:$D$64,$F12,Detail!E$29:E$64)</f>
        <v>449196</v>
      </c>
      <c r="H12" s="96"/>
      <c r="J12" s="12">
        <f>D12-G12</f>
        <v>-291754</v>
      </c>
      <c r="K12" s="12"/>
      <c r="L12" s="80"/>
      <c r="N12" s="80"/>
      <c r="P12" s="80"/>
      <c r="R12" s="80"/>
      <c r="T12" s="80"/>
      <c r="V12" s="80"/>
      <c r="X12" s="12"/>
      <c r="Z12" s="12"/>
    </row>
    <row r="13" spans="1:26" x14ac:dyDescent="0.25">
      <c r="B13" s="98"/>
      <c r="C13" s="101"/>
      <c r="D13" s="103"/>
      <c r="E13" s="15"/>
      <c r="F13" s="101"/>
      <c r="G13" s="104"/>
      <c r="H13" s="96"/>
      <c r="Z13" s="12"/>
    </row>
    <row r="14" spans="1:26" x14ac:dyDescent="0.25">
      <c r="B14" s="95" t="s">
        <v>128</v>
      </c>
      <c r="C14" s="101">
        <v>2</v>
      </c>
      <c r="D14" s="47">
        <f>Detail!E11+SUMIF(Detail!$D$29:$D$64,$C14,Detail!E$29:E$64)-SUMIF(Detail!$D$29:$D$64,$C14,Detail!F$29:F$64)</f>
        <v>5824</v>
      </c>
      <c r="E14" s="15"/>
      <c r="F14" s="101">
        <v>7</v>
      </c>
      <c r="G14" s="47">
        <f>Detail!F19+SUMIF(Detail!$D$29:$D$64,$F14,Detail!F$29:F$64)-SUMIF(Detail!$D$29:$D$64,$F14,Detail!E$29:E$64)</f>
        <v>181946</v>
      </c>
      <c r="H14" s="96"/>
      <c r="J14" s="47">
        <f>D14-G14</f>
        <v>-176122</v>
      </c>
      <c r="K14" s="47"/>
      <c r="L14" s="47"/>
      <c r="N14" s="47"/>
      <c r="P14" s="47"/>
      <c r="R14" s="47"/>
      <c r="T14" s="47"/>
      <c r="V14" s="47"/>
      <c r="X14" s="13"/>
      <c r="Z14" s="13"/>
    </row>
    <row r="15" spans="1:26" x14ac:dyDescent="0.25">
      <c r="B15" s="98"/>
      <c r="C15" s="101"/>
      <c r="D15" s="103"/>
      <c r="E15" s="15"/>
      <c r="F15" s="101"/>
      <c r="G15" s="104"/>
      <c r="H15" s="96"/>
      <c r="X15" s="13"/>
      <c r="Z15" s="12"/>
    </row>
    <row r="16" spans="1:26" ht="12.75" customHeight="1" x14ac:dyDescent="0.25">
      <c r="B16" s="161" t="s">
        <v>10</v>
      </c>
      <c r="C16" s="101"/>
      <c r="D16" s="47"/>
      <c r="E16" s="15"/>
      <c r="F16" s="101"/>
      <c r="G16" s="47"/>
      <c r="H16" s="96"/>
      <c r="J16" s="13"/>
      <c r="K16" s="13"/>
      <c r="N16" s="270"/>
      <c r="O16" s="270"/>
      <c r="P16" s="270"/>
      <c r="X16" s="13"/>
      <c r="Z16" s="12"/>
    </row>
    <row r="17" spans="2:26" x14ac:dyDescent="0.25">
      <c r="B17" s="161" t="s">
        <v>211</v>
      </c>
      <c r="C17" s="101"/>
      <c r="D17" s="103"/>
      <c r="E17" s="15"/>
      <c r="F17" s="101"/>
      <c r="G17" s="104"/>
      <c r="H17" s="96"/>
      <c r="N17" s="6"/>
      <c r="O17" s="2"/>
      <c r="P17" s="6"/>
      <c r="X17" s="13"/>
      <c r="Z17" s="12"/>
    </row>
    <row r="18" spans="2:26" x14ac:dyDescent="0.25">
      <c r="B18" s="161" t="s">
        <v>135</v>
      </c>
      <c r="C18" s="101">
        <v>3</v>
      </c>
      <c r="D18" s="47">
        <f>Detail!E12+SUMIF(Detail!$D$29:$D$64,$C18,Detail!E$29:E$64)-SUMIF(Detail!$D$29:$D$64,$C18,Detail!F$29:F$64)</f>
        <v>306592</v>
      </c>
      <c r="E18" s="15"/>
      <c r="F18" s="101">
        <v>8</v>
      </c>
      <c r="G18" s="47">
        <f>Detail!F18+SUMIF(Detail!$D$29:$D$64,$F18,Detail!F$29:F$64)-SUMIF(Detail!$D$29:$D$64,$F18,Detail!E$29:E$64)</f>
        <v>0</v>
      </c>
      <c r="H18" s="96"/>
      <c r="J18" s="47">
        <f>D18-G18</f>
        <v>306592</v>
      </c>
      <c r="K18" s="47"/>
      <c r="L18" s="47"/>
      <c r="N18" s="47"/>
      <c r="P18" s="47"/>
      <c r="R18" s="47"/>
      <c r="T18" s="47"/>
      <c r="V18" s="47"/>
      <c r="X18" s="13"/>
      <c r="Z18" s="13"/>
    </row>
    <row r="19" spans="2:26" x14ac:dyDescent="0.25">
      <c r="B19" s="98"/>
      <c r="C19" s="101"/>
      <c r="D19" s="103"/>
      <c r="E19" s="15"/>
      <c r="F19" s="101"/>
      <c r="G19" s="104"/>
      <c r="H19" s="96"/>
      <c r="X19" s="13"/>
      <c r="Z19" s="12"/>
    </row>
    <row r="20" spans="2:26" x14ac:dyDescent="0.25">
      <c r="B20" s="95" t="s">
        <v>19</v>
      </c>
      <c r="C20" s="101"/>
      <c r="D20" s="47"/>
      <c r="E20" s="15"/>
      <c r="F20" s="101"/>
      <c r="G20" s="47"/>
      <c r="H20" s="96"/>
      <c r="J20" s="13"/>
      <c r="K20" s="13"/>
      <c r="X20" s="13"/>
      <c r="Z20" s="12"/>
    </row>
    <row r="21" spans="2:26" x14ac:dyDescent="0.25">
      <c r="B21" s="95" t="s">
        <v>20</v>
      </c>
      <c r="C21" s="101"/>
      <c r="D21" s="103"/>
      <c r="E21" s="15"/>
      <c r="F21" s="101"/>
      <c r="G21" s="104"/>
      <c r="H21" s="96"/>
      <c r="X21" s="13"/>
      <c r="Z21" s="12"/>
    </row>
    <row r="22" spans="2:26" x14ac:dyDescent="0.25">
      <c r="B22" s="95" t="s">
        <v>21</v>
      </c>
      <c r="C22" s="101">
        <v>4</v>
      </c>
      <c r="D22" s="47">
        <f>Detail!E10+SUMIF(Detail!$D$29:$D$64,$C22,Detail!E$29:E$64)-SUMIF(Detail!$D$29:$D$64,$C22,Detail!F$29:F$64)</f>
        <v>12775</v>
      </c>
      <c r="E22" s="15"/>
      <c r="F22" s="101">
        <v>9</v>
      </c>
      <c r="G22" s="47">
        <f>Detail!F20+SUMIF(Detail!$D$29:$D$64,$F22,Detail!F$29:F$64)-SUMIF(Detail!$D$29:$D$64,$F22,Detail!E$29:E$64)</f>
        <v>27627</v>
      </c>
      <c r="H22" s="96"/>
      <c r="J22" s="82">
        <f>D22-G22</f>
        <v>-14852</v>
      </c>
      <c r="K22" s="47"/>
      <c r="L22" s="47"/>
      <c r="N22" s="47"/>
      <c r="P22" s="47"/>
      <c r="R22" s="47"/>
      <c r="T22" s="47"/>
      <c r="V22" s="47"/>
      <c r="X22" s="13"/>
      <c r="Z22" s="13"/>
    </row>
    <row r="23" spans="2:26" ht="13.8" thickBot="1" x14ac:dyDescent="0.3">
      <c r="B23" s="95"/>
      <c r="C23" s="101"/>
      <c r="D23" s="103"/>
      <c r="E23" s="15"/>
      <c r="F23" s="101"/>
      <c r="G23" s="104"/>
      <c r="H23" s="96"/>
      <c r="J23" s="88">
        <f>J12+J14+J18+J22</f>
        <v>-176136</v>
      </c>
      <c r="K23" s="12"/>
      <c r="X23" s="12"/>
      <c r="Z23" s="12"/>
    </row>
    <row r="24" spans="2:26" ht="13.8" thickTop="1" x14ac:dyDescent="0.25">
      <c r="B24" s="95" t="s">
        <v>11</v>
      </c>
      <c r="C24" s="101"/>
      <c r="D24" s="47"/>
      <c r="E24" s="15"/>
      <c r="F24" s="101"/>
      <c r="G24" s="47"/>
      <c r="H24" s="96"/>
      <c r="J24" s="13"/>
      <c r="K24" s="13"/>
      <c r="X24" s="13"/>
    </row>
    <row r="25" spans="2:26" ht="13.8" x14ac:dyDescent="0.3">
      <c r="B25" s="95" t="s">
        <v>12</v>
      </c>
      <c r="C25" s="101">
        <v>5</v>
      </c>
      <c r="D25" s="47">
        <f>SUMIF(Detail!$D$29:$D$64,$C25,Detail!E$29:E$64)</f>
        <v>0</v>
      </c>
      <c r="E25" s="15"/>
      <c r="F25" s="101"/>
      <c r="G25" s="47">
        <v>0</v>
      </c>
      <c r="H25" s="96"/>
      <c r="J25" s="47"/>
      <c r="K25" s="47"/>
      <c r="L25" s="126"/>
      <c r="N25" s="126"/>
      <c r="P25" s="47"/>
      <c r="R25" s="47"/>
      <c r="T25" s="47"/>
      <c r="V25" s="47"/>
      <c r="X25" s="13"/>
    </row>
    <row r="26" spans="2:26" ht="14.4" customHeight="1" thickBot="1" x14ac:dyDescent="0.3">
      <c r="B26" s="105" t="s">
        <v>13</v>
      </c>
      <c r="C26" s="15"/>
      <c r="D26" s="106">
        <f>SUM(D12:D25)</f>
        <v>482633</v>
      </c>
      <c r="E26" s="15"/>
      <c r="F26" s="15"/>
      <c r="G26" s="106">
        <f>SUM(G12:G25)</f>
        <v>658769</v>
      </c>
      <c r="H26" s="96"/>
      <c r="J26" s="6"/>
      <c r="K26" s="6"/>
      <c r="L26" s="50"/>
      <c r="N26" s="50"/>
      <c r="P26" s="50"/>
      <c r="R26" s="50"/>
      <c r="T26" s="50"/>
      <c r="V26" s="50"/>
    </row>
    <row r="27" spans="2:26" ht="14.4" customHeight="1" thickTop="1" x14ac:dyDescent="0.25">
      <c r="B27" s="105"/>
      <c r="C27" s="15"/>
      <c r="D27" s="50"/>
      <c r="E27" s="15"/>
      <c r="F27" s="15"/>
      <c r="G27" s="50"/>
      <c r="H27" s="96"/>
      <c r="J27" s="50"/>
      <c r="K27" s="50"/>
    </row>
    <row r="28" spans="2:26" ht="63.9" customHeight="1" x14ac:dyDescent="0.25">
      <c r="B28" s="274" t="s">
        <v>212</v>
      </c>
      <c r="C28" s="275"/>
      <c r="D28" s="275"/>
      <c r="E28" s="275"/>
      <c r="F28" s="275"/>
      <c r="G28" s="275"/>
      <c r="H28" s="276"/>
      <c r="J28" s="50"/>
      <c r="K28" s="50"/>
      <c r="L28" s="273"/>
      <c r="M28" s="273"/>
      <c r="N28" s="273"/>
      <c r="O28" s="273"/>
      <c r="P28" s="273"/>
      <c r="Q28" s="273"/>
    </row>
    <row r="29" spans="2:26" x14ac:dyDescent="0.25">
      <c r="B29" s="105"/>
      <c r="C29" s="15"/>
      <c r="D29" s="50"/>
      <c r="E29" s="15"/>
      <c r="F29" s="15"/>
      <c r="G29" s="50"/>
      <c r="H29" s="96"/>
    </row>
    <row r="30" spans="2:26" x14ac:dyDescent="0.25">
      <c r="B30" s="107" t="s">
        <v>213</v>
      </c>
      <c r="C30" s="15"/>
      <c r="D30" s="50"/>
      <c r="E30" s="15"/>
      <c r="F30" s="15"/>
      <c r="G30" s="50"/>
      <c r="H30" s="96"/>
    </row>
    <row r="31" spans="2:26" ht="12.75" customHeight="1" x14ac:dyDescent="0.25">
      <c r="B31" s="108"/>
      <c r="C31" s="109"/>
      <c r="D31" s="109"/>
      <c r="E31" s="109"/>
      <c r="F31" s="109"/>
      <c r="G31" s="109"/>
      <c r="H31" s="110"/>
    </row>
    <row r="32" spans="2:26" ht="15.75" customHeight="1" x14ac:dyDescent="0.25">
      <c r="B32" s="2"/>
    </row>
    <row r="33" spans="1:16" x14ac:dyDescent="0.25">
      <c r="A33" s="2" t="s">
        <v>28</v>
      </c>
      <c r="B33" s="92" t="s">
        <v>144</v>
      </c>
      <c r="C33" s="93"/>
      <c r="D33" s="93"/>
      <c r="E33" s="93"/>
      <c r="F33" s="93"/>
      <c r="G33" s="93"/>
      <c r="H33" s="94"/>
    </row>
    <row r="34" spans="1:16" x14ac:dyDescent="0.25">
      <c r="A34" s="2"/>
      <c r="B34" s="95" t="s">
        <v>145</v>
      </c>
      <c r="C34" s="15"/>
      <c r="D34" s="15"/>
      <c r="E34" s="15"/>
      <c r="F34" s="15"/>
      <c r="G34" s="15"/>
      <c r="H34" s="96"/>
    </row>
    <row r="35" spans="1:16" x14ac:dyDescent="0.25">
      <c r="A35" s="2"/>
      <c r="B35" s="95" t="s">
        <v>214</v>
      </c>
      <c r="C35" s="15"/>
      <c r="D35" s="15"/>
      <c r="E35" s="15"/>
      <c r="F35" s="15"/>
      <c r="G35" s="15"/>
      <c r="H35" s="96"/>
    </row>
    <row r="36" spans="1:16" x14ac:dyDescent="0.25">
      <c r="B36" s="111"/>
      <c r="C36" s="15"/>
      <c r="D36" s="15"/>
      <c r="E36" s="15"/>
      <c r="F36" s="15"/>
      <c r="G36" s="15"/>
      <c r="H36" s="96"/>
      <c r="L36" s="7"/>
      <c r="N36" s="7"/>
      <c r="P36" s="7"/>
    </row>
    <row r="37" spans="1:16" x14ac:dyDescent="0.25">
      <c r="B37" s="95" t="s">
        <v>29</v>
      </c>
      <c r="C37" s="15"/>
      <c r="D37" s="84"/>
      <c r="E37" s="15"/>
      <c r="F37" s="15"/>
      <c r="G37" s="15"/>
      <c r="H37" s="96"/>
    </row>
    <row r="38" spans="1:16" ht="13.8" x14ac:dyDescent="0.3">
      <c r="B38" s="105">
        <v>2026</v>
      </c>
      <c r="C38" s="15"/>
      <c r="D38" s="80">
        <f>VLOOKUP(Info!B9,Data!B:Z,16,FALSE)</f>
        <v>-164898</v>
      </c>
      <c r="E38" s="15"/>
      <c r="F38" s="63"/>
      <c r="G38" s="15"/>
      <c r="H38" s="96"/>
      <c r="L38" s="80"/>
      <c r="N38" s="80"/>
      <c r="P38" s="12"/>
    </row>
    <row r="39" spans="1:16" ht="13.8" x14ac:dyDescent="0.3">
      <c r="B39" s="105">
        <v>2027</v>
      </c>
      <c r="C39" s="15"/>
      <c r="D39" s="112">
        <f>VLOOKUP(Info!B9,Data!B:Z,17,FALSE)</f>
        <v>-110532</v>
      </c>
      <c r="E39" s="15"/>
      <c r="F39" s="63"/>
      <c r="G39" s="15"/>
      <c r="H39" s="96"/>
      <c r="L39" s="112"/>
      <c r="N39" s="112"/>
      <c r="P39" s="112"/>
    </row>
    <row r="40" spans="1:16" ht="13.8" x14ac:dyDescent="0.3">
      <c r="B40" s="105">
        <v>2028</v>
      </c>
      <c r="C40" s="15"/>
      <c r="D40" s="112">
        <f>VLOOKUP(Info!B9,Data!B:Z,18,FALSE)</f>
        <v>51814</v>
      </c>
      <c r="E40" s="15"/>
      <c r="F40" s="63"/>
      <c r="G40" s="15"/>
      <c r="H40" s="96"/>
      <c r="L40" s="112"/>
      <c r="N40" s="112"/>
      <c r="P40" s="112"/>
    </row>
    <row r="41" spans="1:16" ht="13.8" x14ac:dyDescent="0.3">
      <c r="B41" s="105">
        <v>2029</v>
      </c>
      <c r="C41" s="15"/>
      <c r="D41" s="112">
        <f>VLOOKUP(Info!B9,Data!B:Z,19,FALSE)</f>
        <v>28047</v>
      </c>
      <c r="E41" s="15"/>
      <c r="F41" s="63"/>
      <c r="G41" s="91"/>
      <c r="H41" s="96"/>
      <c r="K41" s="2"/>
      <c r="L41" s="112"/>
      <c r="N41" s="112"/>
      <c r="P41" s="112"/>
    </row>
    <row r="42" spans="1:16" ht="13.8" x14ac:dyDescent="0.3">
      <c r="B42" s="105">
        <v>2030</v>
      </c>
      <c r="C42" s="15"/>
      <c r="D42" s="112">
        <f>VLOOKUP(Info!B9,Data!B:Z,20,FALSE)</f>
        <v>19433</v>
      </c>
      <c r="E42" s="15"/>
      <c r="F42" s="63"/>
      <c r="G42" s="15"/>
      <c r="H42" s="96"/>
      <c r="L42" s="112"/>
      <c r="N42" s="112"/>
      <c r="P42" s="112"/>
    </row>
    <row r="43" spans="1:16" ht="13.8" x14ac:dyDescent="0.3">
      <c r="B43" s="105" t="s">
        <v>238</v>
      </c>
      <c r="C43" s="15"/>
      <c r="D43" s="112">
        <f>VLOOKUP(Info!B9,Data!B:Z,21,FALSE)+VLOOKUP(Info!B9,Data!B:Z,25,FALSE)</f>
        <v>0</v>
      </c>
      <c r="E43" s="15"/>
      <c r="F43" s="63"/>
      <c r="G43" s="15"/>
      <c r="H43" s="96"/>
      <c r="J43" s="125" t="s">
        <v>130</v>
      </c>
      <c r="L43" s="112"/>
      <c r="N43" s="112"/>
      <c r="P43" s="112"/>
    </row>
    <row r="44" spans="1:16" ht="14.4" customHeight="1" thickBot="1" x14ac:dyDescent="0.35">
      <c r="B44" s="113" t="s">
        <v>13</v>
      </c>
      <c r="C44" s="15"/>
      <c r="D44" s="114">
        <f>SUM(D38:D43)</f>
        <v>-176136</v>
      </c>
      <c r="E44" s="15"/>
      <c r="F44" s="63"/>
      <c r="G44" s="15"/>
      <c r="H44" s="96"/>
      <c r="L44" s="12"/>
      <c r="N44" s="12"/>
      <c r="P44" s="12"/>
    </row>
    <row r="45" spans="1:16" ht="8.1" customHeight="1" thickTop="1" x14ac:dyDescent="0.25">
      <c r="B45" s="98"/>
      <c r="C45" s="15"/>
      <c r="D45" s="15"/>
      <c r="E45" s="15"/>
      <c r="F45" s="15"/>
      <c r="G45" s="15"/>
      <c r="H45" s="96"/>
    </row>
    <row r="46" spans="1:16" x14ac:dyDescent="0.25">
      <c r="B46" s="95" t="s">
        <v>215</v>
      </c>
      <c r="C46" s="15"/>
      <c r="D46" s="15"/>
      <c r="E46" s="15"/>
      <c r="F46" s="15"/>
      <c r="G46" s="15"/>
      <c r="H46" s="96"/>
    </row>
    <row r="47" spans="1:16" x14ac:dyDescent="0.25">
      <c r="B47" s="95" t="s">
        <v>216</v>
      </c>
      <c r="C47" s="15"/>
      <c r="D47" s="15"/>
      <c r="E47" s="15"/>
      <c r="F47" s="15"/>
      <c r="G47" s="15"/>
      <c r="H47" s="96"/>
    </row>
    <row r="48" spans="1:16" x14ac:dyDescent="0.25">
      <c r="B48" s="95"/>
      <c r="C48" s="15"/>
      <c r="D48" s="15"/>
      <c r="E48" s="15"/>
      <c r="F48" s="15"/>
      <c r="G48" s="15"/>
      <c r="H48" s="96"/>
    </row>
    <row r="49" spans="1:16" x14ac:dyDescent="0.25">
      <c r="B49" s="115" t="s">
        <v>217</v>
      </c>
      <c r="C49" s="15"/>
      <c r="D49" s="15"/>
      <c r="E49" s="15"/>
      <c r="F49" s="15"/>
      <c r="G49" s="15"/>
      <c r="H49" s="96"/>
    </row>
    <row r="50" spans="1:16" ht="12.75" customHeight="1" x14ac:dyDescent="0.25">
      <c r="B50" s="116"/>
      <c r="C50" s="109"/>
      <c r="D50" s="109"/>
      <c r="E50" s="109"/>
      <c r="F50" s="109"/>
      <c r="G50" s="109"/>
      <c r="H50" s="110"/>
    </row>
    <row r="51" spans="1:16" ht="15.75" customHeight="1" x14ac:dyDescent="0.25"/>
    <row r="52" spans="1:16" x14ac:dyDescent="0.25">
      <c r="A52" s="2" t="s">
        <v>31</v>
      </c>
      <c r="B52" s="92" t="s">
        <v>146</v>
      </c>
      <c r="C52" s="93"/>
      <c r="D52" s="93"/>
      <c r="E52" s="93"/>
      <c r="F52" s="93"/>
      <c r="G52" s="93"/>
      <c r="H52" s="94"/>
    </row>
    <row r="53" spans="1:16" x14ac:dyDescent="0.25">
      <c r="A53" s="2"/>
      <c r="B53" s="95" t="s">
        <v>218</v>
      </c>
      <c r="C53" s="15"/>
      <c r="D53" s="15"/>
      <c r="E53" s="15"/>
      <c r="F53" s="15"/>
      <c r="G53" s="15"/>
      <c r="H53" s="96"/>
    </row>
    <row r="54" spans="1:16" x14ac:dyDescent="0.25">
      <c r="A54" s="2"/>
      <c r="B54" s="117" t="s">
        <v>541</v>
      </c>
      <c r="C54" s="15"/>
      <c r="D54" s="15"/>
      <c r="E54" s="15"/>
      <c r="F54" s="15"/>
      <c r="G54" s="15"/>
      <c r="H54" s="96"/>
    </row>
    <row r="55" spans="1:16" x14ac:dyDescent="0.25">
      <c r="B55" s="98"/>
      <c r="C55" s="15"/>
      <c r="D55" s="15"/>
      <c r="E55" s="15"/>
      <c r="F55" s="15"/>
      <c r="G55" s="15"/>
      <c r="H55" s="96"/>
      <c r="L55" s="7"/>
      <c r="N55" s="7"/>
      <c r="P55" s="7"/>
    </row>
    <row r="56" spans="1:16" ht="14.4" thickBot="1" x14ac:dyDescent="0.35">
      <c r="B56" s="95" t="s">
        <v>32</v>
      </c>
      <c r="C56" s="15"/>
      <c r="D56" s="118">
        <f>D25</f>
        <v>0</v>
      </c>
      <c r="E56" s="15"/>
      <c r="F56" s="63"/>
      <c r="G56" s="91"/>
      <c r="H56" s="96"/>
      <c r="J56" s="125" t="s">
        <v>129</v>
      </c>
      <c r="K56" s="2"/>
      <c r="L56" s="13"/>
      <c r="N56" s="13"/>
      <c r="P56" s="12"/>
    </row>
    <row r="57" spans="1:16" ht="13.8" thickTop="1" x14ac:dyDescent="0.25">
      <c r="B57" s="95"/>
      <c r="C57" s="15"/>
      <c r="D57" s="80"/>
      <c r="E57" s="15"/>
      <c r="F57" s="15"/>
      <c r="G57" s="15"/>
      <c r="H57" s="96"/>
    </row>
    <row r="58" spans="1:16" x14ac:dyDescent="0.25">
      <c r="B58" s="115" t="s">
        <v>219</v>
      </c>
      <c r="C58" s="15"/>
      <c r="D58" s="80"/>
      <c r="E58" s="15"/>
      <c r="F58" s="15"/>
      <c r="G58" s="15"/>
      <c r="H58" s="96"/>
    </row>
    <row r="59" spans="1:16" ht="12.75" customHeight="1" x14ac:dyDescent="0.25">
      <c r="B59" s="108"/>
      <c r="C59" s="109"/>
      <c r="D59" s="109"/>
      <c r="E59" s="109"/>
      <c r="F59" s="109"/>
      <c r="G59" s="109"/>
      <c r="H59" s="110"/>
    </row>
    <row r="60" spans="1:16" ht="15.75" customHeight="1" x14ac:dyDescent="0.25"/>
    <row r="61" spans="1:16" x14ac:dyDescent="0.25">
      <c r="A61" s="2" t="s">
        <v>121</v>
      </c>
      <c r="B61" s="92" t="s">
        <v>235</v>
      </c>
      <c r="C61" s="93"/>
      <c r="D61" s="93"/>
      <c r="E61" s="93"/>
      <c r="F61" s="93"/>
      <c r="G61" s="93"/>
      <c r="H61" s="94"/>
    </row>
    <row r="62" spans="1:16" x14ac:dyDescent="0.25">
      <c r="B62" s="98"/>
      <c r="C62" s="15"/>
      <c r="D62" s="15"/>
      <c r="E62" s="15"/>
      <c r="F62" s="15"/>
      <c r="G62" s="15"/>
      <c r="H62" s="96"/>
    </row>
    <row r="63" spans="1:16" x14ac:dyDescent="0.25">
      <c r="B63" s="119"/>
      <c r="C63" s="101"/>
      <c r="D63" s="155" t="s">
        <v>220</v>
      </c>
      <c r="E63" s="101"/>
      <c r="F63" s="101"/>
      <c r="G63" s="84" t="s">
        <v>220</v>
      </c>
      <c r="H63" s="96"/>
      <c r="I63" s="7"/>
      <c r="J63" s="7"/>
      <c r="K63" s="7"/>
      <c r="L63" s="270"/>
      <c r="M63" s="270"/>
      <c r="N63" s="270"/>
      <c r="O63" s="270"/>
      <c r="P63" s="270"/>
    </row>
    <row r="64" spans="1:16" x14ac:dyDescent="0.25">
      <c r="B64" s="119"/>
      <c r="C64" s="101"/>
      <c r="D64" s="160" t="s">
        <v>232</v>
      </c>
      <c r="E64" s="101"/>
      <c r="F64" s="101"/>
      <c r="G64" s="185" t="s">
        <v>509</v>
      </c>
      <c r="H64" s="186"/>
      <c r="I64" s="7"/>
      <c r="J64" s="7"/>
      <c r="K64" s="7"/>
      <c r="L64" s="7"/>
      <c r="N64" s="7"/>
      <c r="P64" s="6"/>
    </row>
    <row r="65" spans="2:18" x14ac:dyDescent="0.25">
      <c r="B65" s="95" t="s">
        <v>542</v>
      </c>
      <c r="C65" s="15"/>
      <c r="D65" s="13">
        <f>Detail!E15</f>
        <v>0</v>
      </c>
      <c r="E65" s="15"/>
      <c r="F65" s="15"/>
      <c r="G65" s="120">
        <f>Detail!F16</f>
        <v>300346</v>
      </c>
      <c r="H65" s="186"/>
      <c r="L65" s="120"/>
      <c r="N65" s="120"/>
      <c r="P65" s="12"/>
    </row>
    <row r="66" spans="2:18" hidden="1" x14ac:dyDescent="0.25">
      <c r="B66" s="98" t="s">
        <v>147</v>
      </c>
      <c r="C66" s="15"/>
      <c r="D66" s="112">
        <v>0</v>
      </c>
      <c r="E66" s="15"/>
      <c r="F66" s="15"/>
      <c r="G66" s="91"/>
      <c r="H66" s="96"/>
      <c r="L66" s="112"/>
      <c r="N66" s="112"/>
      <c r="P66" s="112"/>
    </row>
    <row r="67" spans="2:18" x14ac:dyDescent="0.25">
      <c r="B67" s="153" t="s">
        <v>122</v>
      </c>
      <c r="C67" s="15"/>
      <c r="D67" s="13">
        <f>Detail!E45</f>
        <v>390532</v>
      </c>
      <c r="E67" s="15"/>
      <c r="F67" s="15"/>
      <c r="G67" s="112">
        <f>-Detail!F34</f>
        <v>0</v>
      </c>
      <c r="H67" s="186"/>
      <c r="L67" s="112"/>
      <c r="N67" s="112"/>
      <c r="P67" s="112"/>
    </row>
    <row r="68" spans="2:18" x14ac:dyDescent="0.25">
      <c r="B68" s="161" t="s">
        <v>140</v>
      </c>
      <c r="C68" s="15"/>
      <c r="D68" s="112"/>
      <c r="E68" s="15"/>
      <c r="F68" s="15"/>
      <c r="G68" s="112">
        <f>-Detail!E34</f>
        <v>-300346</v>
      </c>
      <c r="H68" s="96"/>
      <c r="L68" s="112"/>
      <c r="N68" s="112"/>
      <c r="P68" s="112"/>
    </row>
    <row r="69" spans="2:18" ht="14.4" customHeight="1" thickBot="1" x14ac:dyDescent="0.3">
      <c r="B69" s="95" t="s">
        <v>543</v>
      </c>
      <c r="C69" s="15"/>
      <c r="D69" s="114">
        <f>SUM(D65:D68)</f>
        <v>390532</v>
      </c>
      <c r="E69" s="15"/>
      <c r="F69" s="15"/>
      <c r="G69" s="114">
        <f>SUM(G65:G68)</f>
        <v>0</v>
      </c>
      <c r="H69" s="186"/>
      <c r="L69" s="120"/>
      <c r="N69" s="120"/>
      <c r="P69" s="120"/>
      <c r="R69" s="124"/>
    </row>
    <row r="70" spans="2:18" ht="13.8" thickTop="1" x14ac:dyDescent="0.25">
      <c r="B70" s="98"/>
      <c r="C70" s="15"/>
      <c r="D70" s="120"/>
      <c r="E70" s="15"/>
      <c r="F70" s="15"/>
      <c r="G70" s="91"/>
      <c r="H70" s="96"/>
      <c r="R70" s="124"/>
    </row>
    <row r="71" spans="2:18" x14ac:dyDescent="0.25">
      <c r="B71" s="95" t="s">
        <v>148</v>
      </c>
      <c r="C71" s="15"/>
      <c r="D71" s="121">
        <v>0</v>
      </c>
      <c r="E71" s="15"/>
      <c r="F71" s="15"/>
      <c r="G71" s="121">
        <v>0</v>
      </c>
      <c r="H71" s="96"/>
      <c r="L71" s="120"/>
      <c r="N71" s="120"/>
      <c r="P71" s="120"/>
    </row>
    <row r="72" spans="2:18" x14ac:dyDescent="0.25">
      <c r="B72" s="98"/>
      <c r="C72" s="15"/>
      <c r="D72" s="15"/>
      <c r="E72" s="15"/>
      <c r="F72" s="15"/>
      <c r="G72" s="15"/>
      <c r="H72" s="96"/>
    </row>
    <row r="73" spans="2:18" ht="93" customHeight="1" x14ac:dyDescent="0.25">
      <c r="B73" s="268" t="s">
        <v>233</v>
      </c>
      <c r="C73" s="258"/>
      <c r="D73" s="258"/>
      <c r="E73" s="258"/>
      <c r="F73" s="258"/>
      <c r="G73" s="258"/>
      <c r="H73" s="269"/>
      <c r="L73" s="271"/>
      <c r="M73" s="271"/>
      <c r="N73" s="271"/>
      <c r="O73" s="271"/>
      <c r="P73" s="271"/>
    </row>
    <row r="74" spans="2:18" ht="92.1" customHeight="1" x14ac:dyDescent="0.25">
      <c r="B74" s="265" t="s">
        <v>234</v>
      </c>
      <c r="C74" s="266"/>
      <c r="D74" s="266"/>
      <c r="E74" s="266"/>
      <c r="F74" s="266"/>
      <c r="G74" s="266"/>
      <c r="H74" s="267"/>
      <c r="L74" s="272"/>
      <c r="M74" s="272"/>
      <c r="N74" s="272"/>
      <c r="O74" s="272"/>
      <c r="P74" s="272"/>
    </row>
    <row r="75" spans="2:18" ht="12.75" customHeight="1" x14ac:dyDescent="0.25">
      <c r="B75" s="108"/>
      <c r="C75" s="109"/>
      <c r="D75" s="109"/>
      <c r="E75" s="109"/>
      <c r="F75" s="109"/>
      <c r="G75" s="109"/>
      <c r="H75" s="110"/>
    </row>
    <row r="82" spans="7:7" x14ac:dyDescent="0.25">
      <c r="G82" s="12"/>
    </row>
  </sheetData>
  <sheetProtection algorithmName="SHA-512" hashValue="myvDpoJBp+qPCF6k7E23R8lND35L0vk8giY/clMYWTCBavZyFckF3/H/bfwr3gOzLQxN18y1X2v6hoowtZaXTw==" saltValue="8o0UBoOK7YuG7KaEJSWsKA==" spinCount="100000" sheet="1" objects="1" scenarios="1"/>
  <mergeCells count="12">
    <mergeCell ref="L8:N8"/>
    <mergeCell ref="L9:P9"/>
    <mergeCell ref="R9:V9"/>
    <mergeCell ref="L28:Q28"/>
    <mergeCell ref="B28:H28"/>
    <mergeCell ref="X9:Z9"/>
    <mergeCell ref="B74:H74"/>
    <mergeCell ref="B73:H73"/>
    <mergeCell ref="L63:P63"/>
    <mergeCell ref="L73:P73"/>
    <mergeCell ref="L74:P74"/>
    <mergeCell ref="N16:P16"/>
  </mergeCells>
  <pageMargins left="0.45" right="0.45" top="0.5" bottom="0.5" header="0.3" footer="0.3"/>
  <pageSetup orientation="portrait" r:id="rId1"/>
  <rowBreaks count="1" manualBreakCount="1">
    <brk id="51" max="9"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V95"/>
  <sheetViews>
    <sheetView workbookViewId="0">
      <pane xSplit="2" ySplit="3" topLeftCell="C4" activePane="bottomRight" state="frozen"/>
      <selection pane="topRight" activeCell="C1" sqref="C1"/>
      <selection pane="bottomLeft" activeCell="A4" sqref="A4"/>
      <selection pane="bottomRight" activeCell="E4" sqref="E4"/>
    </sheetView>
  </sheetViews>
  <sheetFormatPr defaultRowHeight="13.2" x14ac:dyDescent="0.25"/>
  <cols>
    <col min="1" max="1" width="47.109375" customWidth="1"/>
    <col min="2" max="2" width="11.6640625" bestFit="1" customWidth="1"/>
    <col min="3" max="3" width="15.6640625" customWidth="1"/>
    <col min="4" max="4" width="10.33203125" customWidth="1"/>
    <col min="5" max="5" width="13.44140625" customWidth="1"/>
    <col min="6" max="6" width="11.6640625" customWidth="1"/>
    <col min="7" max="7" width="13.109375" customWidth="1"/>
    <col min="8" max="8" width="11.109375" customWidth="1"/>
    <col min="9" max="9" width="17.33203125" customWidth="1"/>
    <col min="10" max="10" width="12.44140625" customWidth="1"/>
    <col min="11" max="11" width="14.6640625" customWidth="1"/>
    <col min="12" max="12" width="11.33203125" customWidth="1"/>
    <col min="13" max="13" width="19.33203125" customWidth="1"/>
    <col min="14" max="14" width="11.6640625" customWidth="1"/>
    <col min="15" max="15" width="20.6640625" customWidth="1"/>
    <col min="16" max="16" width="11.6640625" customWidth="1"/>
    <col min="17" max="20" width="12.33203125" customWidth="1"/>
    <col min="21" max="21" width="11.33203125" customWidth="1"/>
    <col min="22" max="22" width="9.6640625" customWidth="1"/>
    <col min="23" max="23" width="8.88671875" customWidth="1"/>
    <col min="24" max="24" width="6.6640625" customWidth="1"/>
    <col min="25" max="25" width="17.44140625" customWidth="1"/>
    <col min="26" max="26" width="11.109375" customWidth="1"/>
    <col min="27" max="27" width="8.33203125" customWidth="1"/>
    <col min="28" max="28" width="11.44140625" bestFit="1" customWidth="1"/>
    <col min="29" max="29" width="13.44140625" bestFit="1" customWidth="1"/>
    <col min="30" max="31" width="11.6640625" customWidth="1"/>
    <col min="32" max="32" width="13.33203125" customWidth="1"/>
    <col min="33" max="33" width="20.6640625" customWidth="1"/>
    <col min="34" max="34" width="18.109375" bestFit="1" customWidth="1"/>
    <col min="35" max="35" width="20.44140625" bestFit="1" customWidth="1"/>
    <col min="36" max="36" width="11.33203125" bestFit="1" customWidth="1"/>
    <col min="37" max="37" width="26.5546875" bestFit="1" customWidth="1"/>
    <col min="38" max="38" width="9.109375" customWidth="1"/>
    <col min="39" max="42" width="20.6640625" customWidth="1"/>
    <col min="43" max="43" width="18.33203125" customWidth="1"/>
    <col min="44" max="44" width="16.5546875" customWidth="1"/>
    <col min="45" max="45" width="15.33203125" customWidth="1"/>
    <col min="46" max="46" width="18.33203125" customWidth="1"/>
    <col min="47" max="47" width="16.5546875" customWidth="1"/>
    <col min="48" max="48" width="16" bestFit="1" customWidth="1"/>
  </cols>
  <sheetData>
    <row r="1" spans="1:48" x14ac:dyDescent="0.25">
      <c r="B1" s="7">
        <v>1</v>
      </c>
      <c r="C1" s="7">
        <v>2</v>
      </c>
      <c r="D1" s="7">
        <v>3</v>
      </c>
      <c r="E1" s="7">
        <v>4</v>
      </c>
      <c r="F1" s="7">
        <v>5</v>
      </c>
      <c r="G1" s="7">
        <v>6</v>
      </c>
      <c r="H1" s="7">
        <v>7</v>
      </c>
      <c r="I1" s="7">
        <v>8</v>
      </c>
      <c r="J1" s="7">
        <v>9</v>
      </c>
      <c r="K1" s="7">
        <v>10</v>
      </c>
      <c r="L1" s="7">
        <v>11</v>
      </c>
      <c r="M1" s="7">
        <v>12</v>
      </c>
      <c r="N1" s="7">
        <v>13</v>
      </c>
      <c r="O1" s="7">
        <v>14</v>
      </c>
      <c r="P1" s="7">
        <v>15</v>
      </c>
      <c r="Q1" s="7">
        <v>16</v>
      </c>
      <c r="R1" s="7">
        <v>17</v>
      </c>
      <c r="S1" s="7">
        <v>18</v>
      </c>
      <c r="T1" s="7">
        <v>19</v>
      </c>
      <c r="U1" s="7">
        <v>20</v>
      </c>
      <c r="V1" s="7">
        <v>21</v>
      </c>
      <c r="W1" s="7">
        <v>22</v>
      </c>
      <c r="X1" s="7">
        <v>23</v>
      </c>
      <c r="Y1" s="7">
        <v>24</v>
      </c>
      <c r="Z1" s="7">
        <v>25</v>
      </c>
      <c r="AA1" s="7">
        <v>26</v>
      </c>
      <c r="AB1" s="7">
        <v>27</v>
      </c>
      <c r="AC1" s="7">
        <v>28</v>
      </c>
      <c r="AD1" s="7">
        <v>29</v>
      </c>
      <c r="AE1" s="7">
        <v>30</v>
      </c>
      <c r="AF1" s="7">
        <v>31</v>
      </c>
      <c r="AG1" s="7">
        <v>32</v>
      </c>
      <c r="AH1" s="7">
        <v>33</v>
      </c>
      <c r="AI1" s="7">
        <v>34</v>
      </c>
      <c r="AJ1" s="7">
        <v>35</v>
      </c>
      <c r="AK1" s="7">
        <v>36</v>
      </c>
      <c r="AL1" s="7">
        <v>37</v>
      </c>
      <c r="AM1" s="7">
        <v>38</v>
      </c>
      <c r="AN1" s="7">
        <v>39</v>
      </c>
      <c r="AO1" s="7">
        <v>40</v>
      </c>
      <c r="AP1" s="7">
        <v>41</v>
      </c>
      <c r="AQ1" s="7">
        <v>42</v>
      </c>
      <c r="AR1" s="7">
        <v>43</v>
      </c>
      <c r="AS1" s="7">
        <v>44</v>
      </c>
      <c r="AT1" s="7">
        <v>45</v>
      </c>
      <c r="AU1" s="7">
        <v>46</v>
      </c>
      <c r="AV1" s="7">
        <v>47</v>
      </c>
    </row>
    <row r="2" spans="1:48" x14ac:dyDescent="0.25">
      <c r="F2" s="277" t="s">
        <v>544</v>
      </c>
      <c r="G2" s="278"/>
      <c r="H2" s="278"/>
      <c r="I2" s="279"/>
      <c r="J2" s="277" t="s">
        <v>545</v>
      </c>
      <c r="K2" s="278"/>
      <c r="L2" s="278"/>
      <c r="M2" s="279"/>
      <c r="N2" s="280" t="s">
        <v>114</v>
      </c>
      <c r="O2" s="281"/>
      <c r="P2" s="282"/>
      <c r="Q2" s="277" t="s">
        <v>119</v>
      </c>
      <c r="R2" s="278"/>
      <c r="S2" s="278"/>
      <c r="T2" s="278"/>
      <c r="U2" s="278"/>
      <c r="V2" s="279"/>
      <c r="AD2" s="277" t="s">
        <v>518</v>
      </c>
      <c r="AE2" s="278"/>
      <c r="AF2" s="278"/>
      <c r="AG2" s="279"/>
      <c r="AH2" s="277" t="s">
        <v>519</v>
      </c>
      <c r="AI2" s="278"/>
      <c r="AJ2" s="278"/>
      <c r="AK2" s="279"/>
      <c r="AM2" s="212" t="s">
        <v>167</v>
      </c>
      <c r="AN2" s="212" t="s">
        <v>168</v>
      </c>
      <c r="AO2" s="212" t="s">
        <v>167</v>
      </c>
      <c r="AP2" s="212" t="s">
        <v>168</v>
      </c>
      <c r="AQ2" s="212" t="s">
        <v>167</v>
      </c>
      <c r="AR2" s="212" t="s">
        <v>168</v>
      </c>
      <c r="AS2" s="212"/>
      <c r="AT2" s="213" t="s">
        <v>167</v>
      </c>
      <c r="AU2" s="213" t="s">
        <v>168</v>
      </c>
      <c r="AV2" s="212" t="s">
        <v>229</v>
      </c>
    </row>
    <row r="3" spans="1:48" ht="120" customHeight="1" x14ac:dyDescent="0.3">
      <c r="A3" s="214" t="s">
        <v>34</v>
      </c>
      <c r="B3" s="214" t="s">
        <v>33</v>
      </c>
      <c r="C3" s="215" t="s">
        <v>221</v>
      </c>
      <c r="D3" s="215" t="s">
        <v>546</v>
      </c>
      <c r="E3" s="216" t="s">
        <v>561</v>
      </c>
      <c r="F3" s="217" t="s">
        <v>116</v>
      </c>
      <c r="G3" s="217" t="s">
        <v>117</v>
      </c>
      <c r="H3" s="217" t="s">
        <v>126</v>
      </c>
      <c r="I3" s="217" t="s">
        <v>115</v>
      </c>
      <c r="J3" s="217" t="s">
        <v>116</v>
      </c>
      <c r="K3" s="217" t="s">
        <v>117</v>
      </c>
      <c r="L3" s="217" t="s">
        <v>126</v>
      </c>
      <c r="M3" s="217" t="s">
        <v>115</v>
      </c>
      <c r="N3" s="218" t="s">
        <v>230</v>
      </c>
      <c r="O3" s="218" t="s">
        <v>118</v>
      </c>
      <c r="P3" s="218" t="s">
        <v>231</v>
      </c>
      <c r="Q3" s="214">
        <v>2026</v>
      </c>
      <c r="R3" s="214">
        <v>2027</v>
      </c>
      <c r="S3" s="214">
        <v>2028</v>
      </c>
      <c r="T3" s="214">
        <v>2029</v>
      </c>
      <c r="U3" s="214">
        <v>2030</v>
      </c>
      <c r="V3" s="2" t="s">
        <v>238</v>
      </c>
      <c r="W3" s="219" t="s">
        <v>185</v>
      </c>
      <c r="X3" s="215" t="s">
        <v>132</v>
      </c>
      <c r="Y3" s="215" t="s">
        <v>236</v>
      </c>
      <c r="Z3" s="215" t="s">
        <v>120</v>
      </c>
      <c r="AA3" s="215" t="s">
        <v>564</v>
      </c>
      <c r="AB3" s="215" t="s">
        <v>526</v>
      </c>
      <c r="AC3" s="219" t="s">
        <v>517</v>
      </c>
      <c r="AD3" s="220" t="s">
        <v>116</v>
      </c>
      <c r="AE3" s="220" t="s">
        <v>117</v>
      </c>
      <c r="AF3" s="220" t="s">
        <v>126</v>
      </c>
      <c r="AG3" s="220" t="s">
        <v>115</v>
      </c>
      <c r="AH3" s="220" t="s">
        <v>116</v>
      </c>
      <c r="AI3" s="220" t="s">
        <v>117</v>
      </c>
      <c r="AJ3" s="220" t="s">
        <v>126</v>
      </c>
      <c r="AK3" s="220" t="s">
        <v>115</v>
      </c>
      <c r="AL3" s="220" t="s">
        <v>185</v>
      </c>
      <c r="AM3" s="220" t="s">
        <v>115</v>
      </c>
      <c r="AN3" s="220" t="s">
        <v>115</v>
      </c>
      <c r="AO3" s="220" t="s">
        <v>116</v>
      </c>
      <c r="AP3" s="220" t="s">
        <v>116</v>
      </c>
      <c r="AQ3" s="219" t="s">
        <v>228</v>
      </c>
      <c r="AR3" s="219" t="s">
        <v>228</v>
      </c>
      <c r="AS3" s="219" t="s">
        <v>563</v>
      </c>
      <c r="AT3" s="221" t="s">
        <v>117</v>
      </c>
      <c r="AU3" s="220" t="s">
        <v>117</v>
      </c>
      <c r="AV3" s="220" t="s">
        <v>229</v>
      </c>
    </row>
    <row r="4" spans="1:48" x14ac:dyDescent="0.25">
      <c r="A4" t="s">
        <v>37</v>
      </c>
      <c r="B4">
        <v>20100</v>
      </c>
      <c r="C4" s="8">
        <f>VLOOKUP(B4,'ER Contributions'!A:D,4,FALSE)</f>
        <v>267652</v>
      </c>
      <c r="D4" s="9">
        <f>VLOOKUP(B4,'ER Contributions'!A:D,3,FALSE)</f>
        <v>1.1860900000000001E-2</v>
      </c>
      <c r="E4" s="8">
        <f>VLOOKUP(B4,'75 - Summary Exhibit'!A:N,3,FALSE)</f>
        <v>-390532</v>
      </c>
      <c r="F4" s="10">
        <f>VLOOKUP(B4,'75 - Summary Exhibit'!A:N,4,FALSE)</f>
        <v>157442</v>
      </c>
      <c r="G4" s="10">
        <f>VLOOKUP(B4,'75 - Summary Exhibit'!A:N,5,FALSE)</f>
        <v>306592</v>
      </c>
      <c r="H4" s="10">
        <f>VLOOKUP(B4,'75 - Summary Exhibit'!A:N,6,FALSE)</f>
        <v>5824</v>
      </c>
      <c r="I4" s="8">
        <f>VLOOKUP(B4,'75 - Summary Exhibit'!A:N,7,FALSE)</f>
        <v>12775</v>
      </c>
      <c r="J4" s="8">
        <f>VLOOKUP(B4,'75 - Summary Exhibit'!A:N,8,FALSE)</f>
        <v>449196</v>
      </c>
      <c r="K4" s="8">
        <f>VLOOKUP(B4,'75 - Summary Exhibit'!A:N,9,FALSE)</f>
        <v>0</v>
      </c>
      <c r="L4" s="8">
        <f>VLOOKUP(B4,'75 - Summary Exhibit'!A:N,10,FALSE)</f>
        <v>181946</v>
      </c>
      <c r="M4" s="8">
        <f>VLOOKUP(B4,'75 - Summary Exhibit'!A:N,11,FALSE)</f>
        <v>27627</v>
      </c>
      <c r="N4" s="8">
        <f>VLOOKUP(B4,'75 - Summary Exhibit'!A:N,12,FALSE)</f>
        <v>208337</v>
      </c>
      <c r="O4" s="8">
        <f>VLOOKUP(B4,'75 - Summary Exhibit'!A:N,13,FALSE)</f>
        <v>-10657</v>
      </c>
      <c r="P4" s="8">
        <f t="shared" ref="P4:P34" si="0">N4+O4</f>
        <v>197680</v>
      </c>
      <c r="Q4" s="8">
        <f>VLOOKUP(B4,'75- Deferred Amortization'!A:H,3,FALSE)</f>
        <v>-164898</v>
      </c>
      <c r="R4" s="8">
        <f>VLOOKUP(B4,'75- Deferred Amortization'!A:H,4,FALSE)</f>
        <v>-110532</v>
      </c>
      <c r="S4" s="8">
        <f>VLOOKUP(B4,'75- Deferred Amortization'!A:H,5,FALSE)</f>
        <v>51814</v>
      </c>
      <c r="T4" s="8">
        <f>VLOOKUP(B4,'75- Deferred Amortization'!A:H,6,FALSE)</f>
        <v>28047</v>
      </c>
      <c r="U4" s="8">
        <f>VLOOKUP(B4,'75- Deferred Amortization'!A:H,7,FALSE)</f>
        <v>19433</v>
      </c>
      <c r="V4" s="8">
        <f>VLOOKUP(B4,'75- Deferred Amortization'!A:H,8,FALSE)</f>
        <v>0</v>
      </c>
      <c r="X4">
        <v>1</v>
      </c>
      <c r="Y4" s="8">
        <f t="shared" ref="Y4:Y35" si="1">ROUND(((F4-AD4)+(G4-AE4)+(H4-AF4)+(I4-AG4)+(AI4-K4)+P4-(E4-AC4)-(J4-AH4)-(L4-AJ4)-(M4-AK4)-C4),0)</f>
        <v>1</v>
      </c>
      <c r="Z4" s="8">
        <f t="shared" ref="Z4:Z35" si="2">ROUND((F4+G4+H4+I4-J4-K4-L4-M4-Q4-R4-S4-T4-U4-V4),0)</f>
        <v>0</v>
      </c>
      <c r="AA4" s="8"/>
      <c r="AB4" s="8">
        <f>'NOPEB asset change'!F3</f>
        <v>-300346</v>
      </c>
      <c r="AC4" s="8">
        <v>300346</v>
      </c>
      <c r="AD4" s="10">
        <v>263215</v>
      </c>
      <c r="AE4" s="10">
        <v>392293</v>
      </c>
      <c r="AF4" s="10">
        <v>21886</v>
      </c>
      <c r="AG4" s="8">
        <v>16828</v>
      </c>
      <c r="AH4" s="8">
        <v>166356</v>
      </c>
      <c r="AI4" s="8">
        <v>0</v>
      </c>
      <c r="AJ4" s="8">
        <v>51270</v>
      </c>
      <c r="AK4" s="8">
        <v>31827</v>
      </c>
      <c r="AM4" s="8">
        <f>I4-AG4</f>
        <v>-4053</v>
      </c>
      <c r="AN4" s="8">
        <f t="shared" ref="AN4:AN35" si="3">M4-AK4</f>
        <v>-4200</v>
      </c>
      <c r="AO4" s="10">
        <f t="shared" ref="AO4:AO35" si="4">F4-AD4</f>
        <v>-105773</v>
      </c>
      <c r="AP4" s="8">
        <f t="shared" ref="AP4:AP35" si="5">J4-AH4</f>
        <v>282840</v>
      </c>
      <c r="AQ4" s="10">
        <f t="shared" ref="AQ4:AQ35" si="6">H4-AF4</f>
        <v>-16062</v>
      </c>
      <c r="AR4" s="8">
        <f t="shared" ref="AR4:AR35" si="7">L4-AJ4</f>
        <v>130676</v>
      </c>
      <c r="AS4" s="8">
        <f t="shared" ref="AS4:AS35" si="8">E4-AC4</f>
        <v>-690878</v>
      </c>
      <c r="AT4" s="10">
        <f t="shared" ref="AT4:AT35" si="9">G4-AE4</f>
        <v>-85701</v>
      </c>
      <c r="AU4" s="8">
        <f t="shared" ref="AU4:AU35" si="10">K4-AI4</f>
        <v>0</v>
      </c>
      <c r="AV4" s="8">
        <f>AC4+AS4</f>
        <v>-390532</v>
      </c>
    </row>
    <row r="5" spans="1:48" x14ac:dyDescent="0.25">
      <c r="A5" t="s">
        <v>39</v>
      </c>
      <c r="B5">
        <v>20300</v>
      </c>
      <c r="C5" s="8">
        <f>VLOOKUP(B5,'ER Contributions'!A:D,4,FALSE)</f>
        <v>529850</v>
      </c>
      <c r="D5" s="9">
        <f>VLOOKUP(B5,'ER Contributions'!A:D,3,FALSE)</f>
        <v>2.3979400000000001E-2</v>
      </c>
      <c r="E5" s="8">
        <f>VLOOKUP(B5,'75 - Summary Exhibit'!A:N,3,FALSE)</f>
        <v>-789546</v>
      </c>
      <c r="F5" s="10">
        <f>VLOOKUP(B5,'75 - Summary Exhibit'!A:N,4,FALSE)</f>
        <v>318303</v>
      </c>
      <c r="G5" s="10">
        <f>VLOOKUP(B5,'75 - Summary Exhibit'!A:N,5,FALSE)</f>
        <v>619844</v>
      </c>
      <c r="H5" s="10">
        <f>VLOOKUP(B5,'75 - Summary Exhibit'!A:N,6,FALSE)</f>
        <v>11774</v>
      </c>
      <c r="I5" s="8">
        <f>VLOOKUP(B5,'75 - Summary Exhibit'!A:N,7,FALSE)</f>
        <v>107791</v>
      </c>
      <c r="J5" s="8">
        <f>VLOOKUP(B5,'75 - Summary Exhibit'!A:N,8,FALSE)</f>
        <v>908148</v>
      </c>
      <c r="K5" s="8">
        <f>VLOOKUP(B5,'75 - Summary Exhibit'!A:N,9,FALSE)</f>
        <v>0</v>
      </c>
      <c r="L5" s="8">
        <f>VLOOKUP(B5,'75 - Summary Exhibit'!A:N,10,FALSE)</f>
        <v>367844</v>
      </c>
      <c r="M5" s="8">
        <f>VLOOKUP(B5,'75 - Summary Exhibit'!A:N,11,FALSE)</f>
        <v>28541</v>
      </c>
      <c r="N5" s="8">
        <f>VLOOKUP(B5,'75 - Summary Exhibit'!A:N,12,FALSE)</f>
        <v>421198</v>
      </c>
      <c r="O5" s="8">
        <f>VLOOKUP(B5,'75 - Summary Exhibit'!A:N,13,FALSE)</f>
        <v>-4376</v>
      </c>
      <c r="P5" s="8">
        <f t="shared" si="0"/>
        <v>416822</v>
      </c>
      <c r="Q5" s="8">
        <f>VLOOKUP(B5,'75- Deferred Amortization'!A:H,3,FALSE)</f>
        <v>-302842</v>
      </c>
      <c r="R5" s="8">
        <f>VLOOKUP(B5,'75- Deferred Amortization'!A:H,4,FALSE)</f>
        <v>-197761</v>
      </c>
      <c r="S5" s="8">
        <f>VLOOKUP(B5,'75- Deferred Amortization'!A:H,5,FALSE)</f>
        <v>133028</v>
      </c>
      <c r="T5" s="8">
        <f>VLOOKUP(B5,'75- Deferred Amortization'!A:H,6,FALSE)</f>
        <v>70968</v>
      </c>
      <c r="U5" s="8">
        <f>VLOOKUP(B5,'75- Deferred Amortization'!A:H,7,FALSE)</f>
        <v>49785</v>
      </c>
      <c r="V5" s="8">
        <f>VLOOKUP(B5,'75- Deferred Amortization'!A:H,8,FALSE)</f>
        <v>0</v>
      </c>
      <c r="X5">
        <v>1</v>
      </c>
      <c r="Y5" s="8">
        <f t="shared" si="1"/>
        <v>0</v>
      </c>
      <c r="Z5" s="8">
        <f t="shared" si="2"/>
        <v>1</v>
      </c>
      <c r="AB5" s="8">
        <f>'NOPEB asset change'!F4</f>
        <v>-613921</v>
      </c>
      <c r="AC5" s="8">
        <v>613921</v>
      </c>
      <c r="AD5" s="10">
        <v>538023</v>
      </c>
      <c r="AE5" s="10">
        <v>801864</v>
      </c>
      <c r="AF5" s="10">
        <v>44735</v>
      </c>
      <c r="AG5" s="8">
        <v>132644</v>
      </c>
      <c r="AH5" s="8">
        <v>340039</v>
      </c>
      <c r="AI5" s="8">
        <v>0</v>
      </c>
      <c r="AJ5" s="8">
        <v>104798</v>
      </c>
      <c r="AK5" s="8">
        <v>28811</v>
      </c>
      <c r="AM5" s="8">
        <f>I5-AG5</f>
        <v>-24853</v>
      </c>
      <c r="AN5" s="8">
        <f t="shared" si="3"/>
        <v>-270</v>
      </c>
      <c r="AO5" s="10">
        <f t="shared" si="4"/>
        <v>-219720</v>
      </c>
      <c r="AP5" s="8">
        <f t="shared" si="5"/>
        <v>568109</v>
      </c>
      <c r="AQ5" s="10">
        <f t="shared" si="6"/>
        <v>-32961</v>
      </c>
      <c r="AR5" s="8">
        <f t="shared" si="7"/>
        <v>263046</v>
      </c>
      <c r="AS5" s="8">
        <f t="shared" si="8"/>
        <v>-1403467</v>
      </c>
      <c r="AT5" s="10">
        <f t="shared" si="9"/>
        <v>-182020</v>
      </c>
      <c r="AU5" s="8">
        <f t="shared" si="10"/>
        <v>0</v>
      </c>
      <c r="AV5" s="8">
        <f>AC5+AS5</f>
        <v>-789546</v>
      </c>
    </row>
    <row r="6" spans="1:48" x14ac:dyDescent="0.25">
      <c r="A6" t="s">
        <v>40</v>
      </c>
      <c r="B6">
        <v>20400</v>
      </c>
      <c r="C6" s="8">
        <f>VLOOKUP(B6,'ER Contributions'!A:D,4,FALSE)</f>
        <v>30408</v>
      </c>
      <c r="D6" s="9">
        <f>VLOOKUP(B6,'ER Contributions'!A:D,3,FALSE)</f>
        <v>1.2772E-3</v>
      </c>
      <c r="E6" s="8">
        <f>VLOOKUP(B6,'75 - Summary Exhibit'!A:N,3,FALSE)</f>
        <v>-42053</v>
      </c>
      <c r="F6" s="10">
        <f>VLOOKUP(B6,'75 - Summary Exhibit'!A:N,4,FALSE)</f>
        <v>16954</v>
      </c>
      <c r="G6" s="10">
        <f>VLOOKUP(B6,'75 - Summary Exhibit'!A:N,5,FALSE)</f>
        <v>33014</v>
      </c>
      <c r="H6" s="10">
        <f>VLOOKUP(B6,'75 - Summary Exhibit'!A:N,6,FALSE)</f>
        <v>627</v>
      </c>
      <c r="I6" s="8">
        <f>VLOOKUP(B6,'75 - Summary Exhibit'!A:N,7,FALSE)</f>
        <v>2227</v>
      </c>
      <c r="J6" s="8">
        <f>VLOOKUP(B6,'75 - Summary Exhibit'!A:N,8,FALSE)</f>
        <v>48370</v>
      </c>
      <c r="K6" s="8">
        <f>VLOOKUP(B6,'75 - Summary Exhibit'!A:N,9,FALSE)</f>
        <v>0</v>
      </c>
      <c r="L6" s="8">
        <f>VLOOKUP(B6,'75 - Summary Exhibit'!A:N,10,FALSE)</f>
        <v>19592</v>
      </c>
      <c r="M6" s="8">
        <f>VLOOKUP(B6,'75 - Summary Exhibit'!A:N,11,FALSE)</f>
        <v>87</v>
      </c>
      <c r="N6" s="8">
        <f>VLOOKUP(B6,'75 - Summary Exhibit'!A:N,12,FALSE)</f>
        <v>22434</v>
      </c>
      <c r="O6" s="8">
        <f>VLOOKUP(B6,'75 - Summary Exhibit'!A:N,13,FALSE)</f>
        <v>1216</v>
      </c>
      <c r="P6" s="8">
        <f t="shared" si="0"/>
        <v>23650</v>
      </c>
      <c r="Q6" s="8">
        <f>VLOOKUP(B6,'75- Deferred Amortization'!A:H,3,FALSE)</f>
        <v>-15586</v>
      </c>
      <c r="R6" s="8">
        <f>VLOOKUP(B6,'75- Deferred Amortization'!A:H,4,FALSE)</f>
        <v>-10703</v>
      </c>
      <c r="S6" s="8">
        <f>VLOOKUP(B6,'75- Deferred Amortization'!A:H,5,FALSE)</f>
        <v>6149</v>
      </c>
      <c r="T6" s="8">
        <f>VLOOKUP(B6,'75- Deferred Amortization'!A:H,6,FALSE)</f>
        <v>2979</v>
      </c>
      <c r="U6" s="8">
        <f>VLOOKUP(B6,'75- Deferred Amortization'!A:H,7,FALSE)</f>
        <v>1934</v>
      </c>
      <c r="V6" s="8">
        <f>VLOOKUP(B6,'75- Deferred Amortization'!A:H,8,FALSE)</f>
        <v>0</v>
      </c>
      <c r="X6">
        <v>1</v>
      </c>
      <c r="Y6" s="8">
        <f t="shared" si="1"/>
        <v>-1</v>
      </c>
      <c r="Z6" s="8">
        <f t="shared" si="2"/>
        <v>0</v>
      </c>
      <c r="AB6" s="8">
        <f>'NOPEB asset change'!F5</f>
        <v>-32894</v>
      </c>
      <c r="AC6" s="8">
        <v>32894</v>
      </c>
      <c r="AD6" s="10">
        <v>28827</v>
      </c>
      <c r="AE6" s="10">
        <v>42964</v>
      </c>
      <c r="AF6" s="10">
        <v>2397</v>
      </c>
      <c r="AG6" s="8">
        <v>2725</v>
      </c>
      <c r="AH6" s="8">
        <v>18219</v>
      </c>
      <c r="AI6" s="8">
        <v>0</v>
      </c>
      <c r="AJ6" s="8">
        <v>5615</v>
      </c>
      <c r="AK6" s="8">
        <v>116</v>
      </c>
      <c r="AM6" s="8">
        <f t="shared" ref="AM6:AM69" si="11">I6-AG6</f>
        <v>-498</v>
      </c>
      <c r="AN6" s="8">
        <f t="shared" si="3"/>
        <v>-29</v>
      </c>
      <c r="AO6" s="10">
        <f t="shared" si="4"/>
        <v>-11873</v>
      </c>
      <c r="AP6" s="8">
        <f t="shared" si="5"/>
        <v>30151</v>
      </c>
      <c r="AQ6" s="10">
        <f t="shared" si="6"/>
        <v>-1770</v>
      </c>
      <c r="AR6" s="8">
        <f t="shared" si="7"/>
        <v>13977</v>
      </c>
      <c r="AS6" s="8">
        <f t="shared" si="8"/>
        <v>-74947</v>
      </c>
      <c r="AT6" s="10">
        <f t="shared" si="9"/>
        <v>-9950</v>
      </c>
      <c r="AU6" s="8">
        <f t="shared" si="10"/>
        <v>0</v>
      </c>
      <c r="AV6" s="8">
        <f t="shared" ref="AV6:AV69" si="12">AC6+AS6</f>
        <v>-42053</v>
      </c>
    </row>
    <row r="7" spans="1:48" x14ac:dyDescent="0.25">
      <c r="A7" t="s">
        <v>41</v>
      </c>
      <c r="B7">
        <v>20600</v>
      </c>
      <c r="C7" s="8">
        <f>VLOOKUP(B7,'ER Contributions'!A:D,4,FALSE)</f>
        <v>71584</v>
      </c>
      <c r="D7" s="9">
        <f>VLOOKUP(B7,'ER Contributions'!A:D,3,FALSE)</f>
        <v>2.9715000000000002E-3</v>
      </c>
      <c r="E7" s="8">
        <f>VLOOKUP(B7,'75 - Summary Exhibit'!A:N,3,FALSE)</f>
        <v>-97840</v>
      </c>
      <c r="F7" s="10">
        <f>VLOOKUP(B7,'75 - Summary Exhibit'!A:N,4,FALSE)</f>
        <v>39444</v>
      </c>
      <c r="G7" s="10">
        <f>VLOOKUP(B7,'75 - Summary Exhibit'!A:N,5,FALSE)</f>
        <v>76810</v>
      </c>
      <c r="H7" s="10">
        <f>VLOOKUP(B7,'75 - Summary Exhibit'!A:N,6,FALSE)</f>
        <v>1459</v>
      </c>
      <c r="I7" s="8">
        <f>VLOOKUP(B7,'75 - Summary Exhibit'!A:N,7,FALSE)</f>
        <v>27967</v>
      </c>
      <c r="J7" s="8">
        <f>VLOOKUP(B7,'75 - Summary Exhibit'!A:N,8,FALSE)</f>
        <v>112537</v>
      </c>
      <c r="K7" s="8">
        <f>VLOOKUP(B7,'75 - Summary Exhibit'!A:N,9,FALSE)</f>
        <v>0</v>
      </c>
      <c r="L7" s="8">
        <f>VLOOKUP(B7,'75 - Summary Exhibit'!A:N,10,FALSE)</f>
        <v>45583</v>
      </c>
      <c r="M7" s="8">
        <f>VLOOKUP(B7,'75 - Summary Exhibit'!A:N,11,FALSE)</f>
        <v>1066</v>
      </c>
      <c r="N7" s="8">
        <f>VLOOKUP(B7,'75 - Summary Exhibit'!A:N,12,FALSE)</f>
        <v>52194</v>
      </c>
      <c r="O7" s="8">
        <f>VLOOKUP(B7,'75 - Summary Exhibit'!A:N,13,FALSE)</f>
        <v>5018</v>
      </c>
      <c r="P7" s="8">
        <f t="shared" si="0"/>
        <v>57212</v>
      </c>
      <c r="Q7" s="8">
        <f>VLOOKUP(B7,'75- Deferred Amortization'!A:H,3,FALSE)</f>
        <v>-31883</v>
      </c>
      <c r="R7" s="8">
        <f>VLOOKUP(B7,'75- Deferred Amortization'!A:H,4,FALSE)</f>
        <v>-18941</v>
      </c>
      <c r="S7" s="8">
        <f>VLOOKUP(B7,'75- Deferred Amortization'!A:H,5,FALSE)</f>
        <v>20556</v>
      </c>
      <c r="T7" s="8">
        <f>VLOOKUP(B7,'75- Deferred Amortization'!A:H,6,FALSE)</f>
        <v>11010</v>
      </c>
      <c r="U7" s="8">
        <f>VLOOKUP(B7,'75- Deferred Amortization'!A:H,7,FALSE)</f>
        <v>5750</v>
      </c>
      <c r="V7" s="8">
        <f>VLOOKUP(B7,'75- Deferred Amortization'!A:H,8,FALSE)</f>
        <v>0</v>
      </c>
      <c r="X7">
        <v>1</v>
      </c>
      <c r="Y7" s="8">
        <f t="shared" si="1"/>
        <v>0</v>
      </c>
      <c r="Z7" s="8">
        <f t="shared" si="2"/>
        <v>2</v>
      </c>
      <c r="AB7" s="8">
        <f>'NOPEB asset change'!F6</f>
        <v>-73394</v>
      </c>
      <c r="AC7" s="8">
        <v>73394</v>
      </c>
      <c r="AD7" s="10">
        <v>64321</v>
      </c>
      <c r="AE7" s="10">
        <v>95863</v>
      </c>
      <c r="AF7" s="10">
        <v>5348</v>
      </c>
      <c r="AG7" s="8">
        <v>34504</v>
      </c>
      <c r="AH7" s="8">
        <v>40652</v>
      </c>
      <c r="AI7" s="8">
        <v>0</v>
      </c>
      <c r="AJ7" s="8">
        <v>12529</v>
      </c>
      <c r="AK7" s="8">
        <v>3499</v>
      </c>
      <c r="AM7" s="8">
        <f t="shared" si="11"/>
        <v>-6537</v>
      </c>
      <c r="AN7" s="8">
        <f t="shared" si="3"/>
        <v>-2433</v>
      </c>
      <c r="AO7" s="10">
        <f t="shared" si="4"/>
        <v>-24877</v>
      </c>
      <c r="AP7" s="8">
        <f t="shared" si="5"/>
        <v>71885</v>
      </c>
      <c r="AQ7" s="10">
        <f t="shared" si="6"/>
        <v>-3889</v>
      </c>
      <c r="AR7" s="8">
        <f t="shared" si="7"/>
        <v>33054</v>
      </c>
      <c r="AS7" s="8">
        <f t="shared" si="8"/>
        <v>-171234</v>
      </c>
      <c r="AT7" s="10">
        <f t="shared" si="9"/>
        <v>-19053</v>
      </c>
      <c r="AU7" s="8">
        <f t="shared" si="10"/>
        <v>0</v>
      </c>
      <c r="AV7" s="8">
        <f t="shared" si="12"/>
        <v>-97840</v>
      </c>
    </row>
    <row r="8" spans="1:48" x14ac:dyDescent="0.25">
      <c r="A8" t="s">
        <v>43</v>
      </c>
      <c r="B8">
        <v>20800</v>
      </c>
      <c r="C8" s="8">
        <f>VLOOKUP(B8,'ER Contributions'!A:D,4,FALSE)</f>
        <v>103123</v>
      </c>
      <c r="D8" s="9">
        <f>VLOOKUP(B8,'ER Contributions'!A:D,3,FALSE)</f>
        <v>4.0658999999999999E-3</v>
      </c>
      <c r="E8" s="8">
        <f>VLOOKUP(B8,'75 - Summary Exhibit'!A:N,3,FALSE)</f>
        <v>-133874</v>
      </c>
      <c r="F8" s="10">
        <f>VLOOKUP(B8,'75 - Summary Exhibit'!A:N,4,FALSE)</f>
        <v>53971</v>
      </c>
      <c r="G8" s="10">
        <f>VLOOKUP(B8,'75 - Summary Exhibit'!A:N,5,FALSE)</f>
        <v>105099</v>
      </c>
      <c r="H8" s="10">
        <f>VLOOKUP(B8,'75 - Summary Exhibit'!A:N,6,FALSE)</f>
        <v>1996</v>
      </c>
      <c r="I8" s="8">
        <f>VLOOKUP(B8,'75 - Summary Exhibit'!A:N,7,FALSE)</f>
        <v>40196</v>
      </c>
      <c r="J8" s="8">
        <f>VLOOKUP(B8,'75 - Summary Exhibit'!A:N,8,FALSE)</f>
        <v>153984</v>
      </c>
      <c r="K8" s="8">
        <f>VLOOKUP(B8,'75 - Summary Exhibit'!A:N,9,FALSE)</f>
        <v>0</v>
      </c>
      <c r="L8" s="8">
        <f>VLOOKUP(B8,'75 - Summary Exhibit'!A:N,10,FALSE)</f>
        <v>62371</v>
      </c>
      <c r="M8" s="8">
        <f>VLOOKUP(B8,'75 - Summary Exhibit'!A:N,11,FALSE)</f>
        <v>0</v>
      </c>
      <c r="N8" s="8">
        <f>VLOOKUP(B8,'75 - Summary Exhibit'!A:N,12,FALSE)</f>
        <v>71418</v>
      </c>
      <c r="O8" s="8">
        <f>VLOOKUP(B8,'75 - Summary Exhibit'!A:N,13,FALSE)</f>
        <v>19614</v>
      </c>
      <c r="P8" s="8">
        <f t="shared" si="0"/>
        <v>91032</v>
      </c>
      <c r="Q8" s="8">
        <f>VLOOKUP(B8,'75- Deferred Amortization'!A:H,3,FALSE)</f>
        <v>-35622</v>
      </c>
      <c r="R8" s="8">
        <f>VLOOKUP(B8,'75- Deferred Amortization'!A:H,4,FALSE)</f>
        <v>-25741</v>
      </c>
      <c r="S8" s="8">
        <f>VLOOKUP(B8,'75- Deferred Amortization'!A:H,5,FALSE)</f>
        <v>25824</v>
      </c>
      <c r="T8" s="8">
        <f>VLOOKUP(B8,'75- Deferred Amortization'!A:H,6,FALSE)</f>
        <v>12522</v>
      </c>
      <c r="U8" s="8">
        <f>VLOOKUP(B8,'75- Deferred Amortization'!A:H,7,FALSE)</f>
        <v>7924</v>
      </c>
      <c r="V8" s="8">
        <f>VLOOKUP(B8,'75- Deferred Amortization'!A:H,8,FALSE)</f>
        <v>0</v>
      </c>
      <c r="X8">
        <v>1</v>
      </c>
      <c r="Y8" s="8">
        <f t="shared" si="1"/>
        <v>0</v>
      </c>
      <c r="Z8" s="8">
        <f t="shared" si="2"/>
        <v>0</v>
      </c>
      <c r="AB8" s="8">
        <f>'NOPEB asset change'!F7</f>
        <v>-104647</v>
      </c>
      <c r="AC8" s="8">
        <v>104647</v>
      </c>
      <c r="AD8" s="10">
        <v>91710</v>
      </c>
      <c r="AE8" s="10">
        <v>136684</v>
      </c>
      <c r="AF8" s="10">
        <v>7625</v>
      </c>
      <c r="AG8" s="8">
        <v>51144</v>
      </c>
      <c r="AH8" s="8">
        <v>57962</v>
      </c>
      <c r="AI8" s="8">
        <v>0</v>
      </c>
      <c r="AJ8" s="8">
        <v>17864</v>
      </c>
      <c r="AK8" s="8">
        <v>0</v>
      </c>
      <c r="AM8" s="8">
        <f t="shared" si="11"/>
        <v>-10948</v>
      </c>
      <c r="AN8" s="8">
        <f t="shared" si="3"/>
        <v>0</v>
      </c>
      <c r="AO8" s="10">
        <f t="shared" si="4"/>
        <v>-37739</v>
      </c>
      <c r="AP8" s="8">
        <f t="shared" si="5"/>
        <v>96022</v>
      </c>
      <c r="AQ8" s="10">
        <f t="shared" si="6"/>
        <v>-5629</v>
      </c>
      <c r="AR8" s="8">
        <f t="shared" si="7"/>
        <v>44507</v>
      </c>
      <c r="AS8" s="8">
        <f t="shared" si="8"/>
        <v>-238521</v>
      </c>
      <c r="AT8" s="10">
        <f t="shared" si="9"/>
        <v>-31585</v>
      </c>
      <c r="AU8" s="8">
        <f t="shared" si="10"/>
        <v>0</v>
      </c>
      <c r="AV8" s="8">
        <f t="shared" si="12"/>
        <v>-133874</v>
      </c>
    </row>
    <row r="9" spans="1:48" x14ac:dyDescent="0.25">
      <c r="A9" t="s">
        <v>36</v>
      </c>
      <c r="B9">
        <v>10950</v>
      </c>
      <c r="C9" s="8">
        <f>VLOOKUP(B9,'ER Contributions'!A:D,4,FALSE)</f>
        <v>25878</v>
      </c>
      <c r="D9" s="9">
        <f>VLOOKUP(B9,'ER Contributions'!A:D,3,FALSE)</f>
        <v>1.1408E-3</v>
      </c>
      <c r="E9" s="8">
        <f>VLOOKUP(B9,'75 - Summary Exhibit'!A:N,3,FALSE)</f>
        <v>-37562</v>
      </c>
      <c r="F9" s="10">
        <f>VLOOKUP(B9,'75 - Summary Exhibit'!A:N,4,FALSE)</f>
        <v>15143</v>
      </c>
      <c r="G9" s="10">
        <f>VLOOKUP(B9,'75 - Summary Exhibit'!A:N,5,FALSE)</f>
        <v>29489</v>
      </c>
      <c r="H9" s="10">
        <f>VLOOKUP(B9,'75 - Summary Exhibit'!A:N,6,FALSE)</f>
        <v>560</v>
      </c>
      <c r="I9" s="8">
        <f>VLOOKUP(B9,'75 - Summary Exhibit'!A:N,7,FALSE)</f>
        <v>1678</v>
      </c>
      <c r="J9" s="8">
        <f>VLOOKUP(B9,'75 - Summary Exhibit'!A:N,8,FALSE)</f>
        <v>43204</v>
      </c>
      <c r="K9" s="8">
        <f>VLOOKUP(B9,'75 - Summary Exhibit'!A:N,9,FALSE)</f>
        <v>0</v>
      </c>
      <c r="L9" s="8">
        <f>VLOOKUP(B9,'75 - Summary Exhibit'!A:N,10,FALSE)</f>
        <v>17500</v>
      </c>
      <c r="M9" s="8">
        <f>VLOOKUP(B9,'75 - Summary Exhibit'!A:N,11,FALSE)</f>
        <v>7182</v>
      </c>
      <c r="N9" s="8">
        <f>VLOOKUP(B9,'75 - Summary Exhibit'!A:N,12,FALSE)</f>
        <v>20038</v>
      </c>
      <c r="O9" s="8">
        <f>VLOOKUP(B9,'75 - Summary Exhibit'!A:N,13,FALSE)</f>
        <v>-3405</v>
      </c>
      <c r="P9" s="8">
        <f t="shared" si="0"/>
        <v>16633</v>
      </c>
      <c r="Q9" s="8">
        <f>VLOOKUP(B9,'75- Deferred Amortization'!A:H,3,FALSE)</f>
        <v>-17743</v>
      </c>
      <c r="R9" s="8">
        <f>VLOOKUP(B9,'75- Deferred Amortization'!A:H,4,FALSE)</f>
        <v>-11638</v>
      </c>
      <c r="S9" s="8">
        <f>VLOOKUP(B9,'75- Deferred Amortization'!A:H,5,FALSE)</f>
        <v>4262</v>
      </c>
      <c r="T9" s="8">
        <f>VLOOKUP(B9,'75- Deferred Amortization'!A:H,6,FALSE)</f>
        <v>2142</v>
      </c>
      <c r="U9" s="8">
        <f>VLOOKUP(B9,'75- Deferred Amortization'!A:H,7,FALSE)</f>
        <v>1961</v>
      </c>
      <c r="V9" s="8">
        <f>VLOOKUP(B9,'75- Deferred Amortization'!A:H,8,FALSE)</f>
        <v>0</v>
      </c>
      <c r="X9">
        <v>1</v>
      </c>
      <c r="Y9" s="8">
        <f t="shared" si="1"/>
        <v>0</v>
      </c>
      <c r="Z9" s="8">
        <f t="shared" si="2"/>
        <v>0</v>
      </c>
      <c r="AB9" s="8">
        <f>'NOPEB asset change'!F8</f>
        <v>-27022</v>
      </c>
      <c r="AC9" s="8">
        <v>27022</v>
      </c>
      <c r="AD9" s="10">
        <v>23681</v>
      </c>
      <c r="AE9" s="10">
        <v>35294</v>
      </c>
      <c r="AF9" s="10">
        <v>1969</v>
      </c>
      <c r="AG9" s="8">
        <v>2013</v>
      </c>
      <c r="AH9" s="8">
        <v>14967</v>
      </c>
      <c r="AI9" s="8">
        <v>0</v>
      </c>
      <c r="AJ9" s="8">
        <v>4613</v>
      </c>
      <c r="AK9" s="8">
        <v>9054</v>
      </c>
      <c r="AM9" s="8">
        <f t="shared" si="11"/>
        <v>-335</v>
      </c>
      <c r="AN9" s="8">
        <f t="shared" si="3"/>
        <v>-1872</v>
      </c>
      <c r="AO9" s="10">
        <f t="shared" si="4"/>
        <v>-8538</v>
      </c>
      <c r="AP9" s="8">
        <f t="shared" si="5"/>
        <v>28237</v>
      </c>
      <c r="AQ9" s="10">
        <f t="shared" si="6"/>
        <v>-1409</v>
      </c>
      <c r="AR9" s="8">
        <f t="shared" si="7"/>
        <v>12887</v>
      </c>
      <c r="AS9" s="8">
        <f t="shared" si="8"/>
        <v>-64584</v>
      </c>
      <c r="AT9" s="10">
        <f t="shared" si="9"/>
        <v>-5805</v>
      </c>
      <c r="AU9" s="8">
        <f t="shared" si="10"/>
        <v>0</v>
      </c>
      <c r="AV9" s="8">
        <f t="shared" si="12"/>
        <v>-37562</v>
      </c>
    </row>
    <row r="10" spans="1:48" x14ac:dyDescent="0.25">
      <c r="A10" t="s">
        <v>38</v>
      </c>
      <c r="B10">
        <v>20200</v>
      </c>
      <c r="C10" s="8">
        <f>VLOOKUP(B10,'ER Contributions'!A:D,4,FALSE)</f>
        <v>37828</v>
      </c>
      <c r="D10" s="9">
        <f>VLOOKUP(B10,'ER Contributions'!A:D,3,FALSE)</f>
        <v>1.6057999999999999E-3</v>
      </c>
      <c r="E10" s="8">
        <f>VLOOKUP(B10,'75 - Summary Exhibit'!A:N,3,FALSE)</f>
        <v>-52873</v>
      </c>
      <c r="F10" s="10">
        <f>VLOOKUP(B10,'75 - Summary Exhibit'!A:N,4,FALSE)</f>
        <v>21315</v>
      </c>
      <c r="G10" s="10">
        <f>VLOOKUP(B10,'75 - Summary Exhibit'!A:N,5,FALSE)</f>
        <v>41508</v>
      </c>
      <c r="H10" s="10">
        <f>VLOOKUP(B10,'75 - Summary Exhibit'!A:N,6,FALSE)</f>
        <v>788</v>
      </c>
      <c r="I10" s="8">
        <f>VLOOKUP(B10,'75 - Summary Exhibit'!A:N,7,FALSE)</f>
        <v>5337</v>
      </c>
      <c r="J10" s="8">
        <f>VLOOKUP(B10,'75 - Summary Exhibit'!A:N,8,FALSE)</f>
        <v>60815</v>
      </c>
      <c r="K10" s="8">
        <f>VLOOKUP(B10,'75 - Summary Exhibit'!A:N,9,FALSE)</f>
        <v>0</v>
      </c>
      <c r="L10" s="8">
        <f>VLOOKUP(B10,'75 - Summary Exhibit'!A:N,10,FALSE)</f>
        <v>24633</v>
      </c>
      <c r="M10" s="8">
        <f>VLOOKUP(B10,'75 - Summary Exhibit'!A:N,11,FALSE)</f>
        <v>653</v>
      </c>
      <c r="N10" s="8">
        <f>VLOOKUP(B10,'75 - Summary Exhibit'!A:N,12,FALSE)</f>
        <v>28206</v>
      </c>
      <c r="O10" s="8">
        <f>VLOOKUP(B10,'75 - Summary Exhibit'!A:N,13,FALSE)</f>
        <v>1615</v>
      </c>
      <c r="P10" s="8">
        <f t="shared" si="0"/>
        <v>29821</v>
      </c>
      <c r="Q10" s="8">
        <f>VLOOKUP(B10,'75- Deferred Amortization'!A:H,3,FALSE)</f>
        <v>-19372</v>
      </c>
      <c r="R10" s="8">
        <f>VLOOKUP(B10,'75- Deferred Amortization'!A:H,4,FALSE)</f>
        <v>-13415</v>
      </c>
      <c r="S10" s="8">
        <f>VLOOKUP(B10,'75- Deferred Amortization'!A:H,5,FALSE)</f>
        <v>7974</v>
      </c>
      <c r="T10" s="8">
        <f>VLOOKUP(B10,'75- Deferred Amortization'!A:H,6,FALSE)</f>
        <v>4525</v>
      </c>
      <c r="U10" s="8">
        <f>VLOOKUP(B10,'75- Deferred Amortization'!A:H,7,FALSE)</f>
        <v>3137</v>
      </c>
      <c r="V10" s="8">
        <f>VLOOKUP(B10,'75- Deferred Amortization'!A:H,8,FALSE)</f>
        <v>0</v>
      </c>
      <c r="X10">
        <v>1</v>
      </c>
      <c r="Y10" s="8">
        <f t="shared" si="1"/>
        <v>-1</v>
      </c>
      <c r="Z10" s="8">
        <f t="shared" si="2"/>
        <v>-2</v>
      </c>
      <c r="AB10" s="8">
        <f>'NOPEB asset change'!F9</f>
        <v>-41003</v>
      </c>
      <c r="AC10" s="8">
        <v>41003</v>
      </c>
      <c r="AD10" s="10">
        <v>35934</v>
      </c>
      <c r="AE10" s="10">
        <v>53556</v>
      </c>
      <c r="AF10" s="10">
        <v>2988</v>
      </c>
      <c r="AG10" s="8">
        <v>6820</v>
      </c>
      <c r="AH10" s="8">
        <v>22711</v>
      </c>
      <c r="AI10" s="8">
        <v>0</v>
      </c>
      <c r="AJ10" s="8">
        <v>6999</v>
      </c>
      <c r="AK10" s="8">
        <v>871</v>
      </c>
      <c r="AM10" s="8">
        <f t="shared" si="11"/>
        <v>-1483</v>
      </c>
      <c r="AN10" s="8">
        <f t="shared" si="3"/>
        <v>-218</v>
      </c>
      <c r="AO10" s="10">
        <f t="shared" si="4"/>
        <v>-14619</v>
      </c>
      <c r="AP10" s="8">
        <f t="shared" si="5"/>
        <v>38104</v>
      </c>
      <c r="AQ10" s="10">
        <f t="shared" si="6"/>
        <v>-2200</v>
      </c>
      <c r="AR10" s="8">
        <f t="shared" si="7"/>
        <v>17634</v>
      </c>
      <c r="AS10" s="8">
        <f t="shared" si="8"/>
        <v>-93876</v>
      </c>
      <c r="AT10" s="10">
        <f t="shared" si="9"/>
        <v>-12048</v>
      </c>
      <c r="AU10" s="8">
        <f t="shared" si="10"/>
        <v>0</v>
      </c>
      <c r="AV10" s="8">
        <f t="shared" si="12"/>
        <v>-52873</v>
      </c>
    </row>
    <row r="11" spans="1:48" x14ac:dyDescent="0.25">
      <c r="A11" t="s">
        <v>46</v>
      </c>
      <c r="B11">
        <v>21300</v>
      </c>
      <c r="C11" s="8">
        <f>VLOOKUP(B11,'ER Contributions'!A:D,4,FALSE)</f>
        <v>907812</v>
      </c>
      <c r="D11" s="9">
        <f>VLOOKUP(B11,'ER Contributions'!A:D,3,FALSE)</f>
        <v>4.0810100000000002E-2</v>
      </c>
      <c r="E11" s="8">
        <f>VLOOKUP(B11,'75 - Summary Exhibit'!A:N,3,FALSE)</f>
        <v>-1343713</v>
      </c>
      <c r="F11" s="10">
        <f>VLOOKUP(B11,'75 - Summary Exhibit'!A:N,4,FALSE)</f>
        <v>541713</v>
      </c>
      <c r="G11" s="10">
        <f>VLOOKUP(B11,'75 - Summary Exhibit'!A:N,5,FALSE)</f>
        <v>1054900</v>
      </c>
      <c r="H11" s="10">
        <f>VLOOKUP(B11,'75 - Summary Exhibit'!A:N,6,FALSE)</f>
        <v>20038</v>
      </c>
      <c r="I11" s="8">
        <f>VLOOKUP(B11,'75 - Summary Exhibit'!A:N,7,FALSE)</f>
        <v>109785</v>
      </c>
      <c r="J11" s="8">
        <f>VLOOKUP(B11,'75 - Summary Exhibit'!A:N,8,FALSE)</f>
        <v>1545560</v>
      </c>
      <c r="K11" s="8">
        <f>VLOOKUP(B11,'75 - Summary Exhibit'!A:N,9,FALSE)</f>
        <v>0</v>
      </c>
      <c r="L11" s="8">
        <f>VLOOKUP(B11,'75 - Summary Exhibit'!A:N,10,FALSE)</f>
        <v>626027</v>
      </c>
      <c r="M11" s="8">
        <f>VLOOKUP(B11,'75 - Summary Exhibit'!A:N,11,FALSE)</f>
        <v>96338</v>
      </c>
      <c r="N11" s="8">
        <f>VLOOKUP(B11,'75 - Summary Exhibit'!A:N,12,FALSE)</f>
        <v>716829</v>
      </c>
      <c r="O11" s="8">
        <f>VLOOKUP(B11,'75 - Summary Exhibit'!A:N,13,FALSE)</f>
        <v>-32325</v>
      </c>
      <c r="P11" s="8">
        <f t="shared" si="0"/>
        <v>684504</v>
      </c>
      <c r="Q11" s="8">
        <f>VLOOKUP(B11,'75- Deferred Amortization'!A:H,3,FALSE)</f>
        <v>-551177</v>
      </c>
      <c r="R11" s="8">
        <f>VLOOKUP(B11,'75- Deferred Amortization'!A:H,4,FALSE)</f>
        <v>-366069</v>
      </c>
      <c r="S11" s="8">
        <f>VLOOKUP(B11,'75- Deferred Amortization'!A:H,5,FALSE)</f>
        <v>197190</v>
      </c>
      <c r="T11" s="8">
        <f>VLOOKUP(B11,'75- Deferred Amortization'!A:H,6,FALSE)</f>
        <v>102783</v>
      </c>
      <c r="U11" s="8">
        <f>VLOOKUP(B11,'75- Deferred Amortization'!A:H,7,FALSE)</f>
        <v>75784</v>
      </c>
      <c r="V11" s="8">
        <f>VLOOKUP(B11,'75- Deferred Amortization'!A:H,8,FALSE)</f>
        <v>0</v>
      </c>
      <c r="X11">
        <v>1</v>
      </c>
      <c r="Y11" s="8">
        <f t="shared" si="1"/>
        <v>-1</v>
      </c>
      <c r="Z11" s="8">
        <f t="shared" si="2"/>
        <v>0</v>
      </c>
      <c r="AB11" s="8">
        <f>'NOPEB asset change'!F10</f>
        <v>-1031656</v>
      </c>
      <c r="AC11" s="8">
        <v>1031656</v>
      </c>
      <c r="AD11" s="10">
        <v>904115</v>
      </c>
      <c r="AE11" s="10">
        <v>1347484</v>
      </c>
      <c r="AF11" s="10">
        <v>75175</v>
      </c>
      <c r="AG11" s="8">
        <v>134573</v>
      </c>
      <c r="AH11" s="8">
        <v>571414</v>
      </c>
      <c r="AI11" s="8">
        <v>0</v>
      </c>
      <c r="AJ11" s="8">
        <v>176106</v>
      </c>
      <c r="AK11" s="8">
        <v>103254</v>
      </c>
      <c r="AM11" s="8">
        <f t="shared" si="11"/>
        <v>-24788</v>
      </c>
      <c r="AN11" s="8">
        <f t="shared" si="3"/>
        <v>-6916</v>
      </c>
      <c r="AO11" s="10">
        <f t="shared" si="4"/>
        <v>-362402</v>
      </c>
      <c r="AP11" s="8">
        <f t="shared" si="5"/>
        <v>974146</v>
      </c>
      <c r="AQ11" s="10">
        <f t="shared" si="6"/>
        <v>-55137</v>
      </c>
      <c r="AR11" s="8">
        <f t="shared" si="7"/>
        <v>449921</v>
      </c>
      <c r="AS11" s="8">
        <f t="shared" si="8"/>
        <v>-2375369</v>
      </c>
      <c r="AT11" s="10">
        <f t="shared" si="9"/>
        <v>-292584</v>
      </c>
      <c r="AU11" s="8">
        <f t="shared" si="10"/>
        <v>0</v>
      </c>
      <c r="AV11" s="8">
        <f t="shared" si="12"/>
        <v>-1343713</v>
      </c>
    </row>
    <row r="12" spans="1:48" x14ac:dyDescent="0.25">
      <c r="A12" t="s">
        <v>42</v>
      </c>
      <c r="B12">
        <v>20700</v>
      </c>
      <c r="C12" s="8">
        <f>VLOOKUP(B12,'ER Contributions'!A:D,4,FALSE)</f>
        <v>153777</v>
      </c>
      <c r="D12" s="9">
        <f>VLOOKUP(B12,'ER Contributions'!A:D,3,FALSE)</f>
        <v>6.2084999999999996E-3</v>
      </c>
      <c r="E12" s="8">
        <f>VLOOKUP(B12,'75 - Summary Exhibit'!A:N,3,FALSE)</f>
        <v>-204421</v>
      </c>
      <c r="F12" s="10">
        <f>VLOOKUP(B12,'75 - Summary Exhibit'!A:N,4,FALSE)</f>
        <v>82412</v>
      </c>
      <c r="G12" s="10">
        <f>VLOOKUP(B12,'75 - Summary Exhibit'!A:N,5,FALSE)</f>
        <v>160484</v>
      </c>
      <c r="H12" s="10">
        <f>VLOOKUP(B12,'75 - Summary Exhibit'!A:N,6,FALSE)</f>
        <v>3048</v>
      </c>
      <c r="I12" s="8">
        <f>VLOOKUP(B12,'75 - Summary Exhibit'!A:N,7,FALSE)</f>
        <v>27841</v>
      </c>
      <c r="J12" s="8">
        <f>VLOOKUP(B12,'75 - Summary Exhibit'!A:N,8,FALSE)</f>
        <v>235128</v>
      </c>
      <c r="K12" s="8">
        <f>VLOOKUP(B12,'75 - Summary Exhibit'!A:N,9,FALSE)</f>
        <v>0</v>
      </c>
      <c r="L12" s="8">
        <f>VLOOKUP(B12,'75 - Summary Exhibit'!A:N,10,FALSE)</f>
        <v>95238</v>
      </c>
      <c r="M12" s="8">
        <f>VLOOKUP(B12,'75 - Summary Exhibit'!A:N,11,FALSE)</f>
        <v>4410</v>
      </c>
      <c r="N12" s="8">
        <f>VLOOKUP(B12,'75 - Summary Exhibit'!A:N,12,FALSE)</f>
        <v>109052</v>
      </c>
      <c r="O12" s="8">
        <f>VLOOKUP(B12,'75 - Summary Exhibit'!A:N,13,FALSE)</f>
        <v>11085</v>
      </c>
      <c r="P12" s="8">
        <f t="shared" si="0"/>
        <v>120137</v>
      </c>
      <c r="Q12" s="8">
        <f>VLOOKUP(B12,'75- Deferred Amortization'!A:H,3,FALSE)</f>
        <v>-69279</v>
      </c>
      <c r="R12" s="8">
        <f>VLOOKUP(B12,'75- Deferred Amortization'!A:H,4,FALSE)</f>
        <v>-48600</v>
      </c>
      <c r="S12" s="8">
        <f>VLOOKUP(B12,'75- Deferred Amortization'!A:H,5,FALSE)</f>
        <v>32251</v>
      </c>
      <c r="T12" s="8">
        <f>VLOOKUP(B12,'75- Deferred Amortization'!A:H,6,FALSE)</f>
        <v>14262</v>
      </c>
      <c r="U12" s="8">
        <f>VLOOKUP(B12,'75- Deferred Amortization'!A:H,7,FALSE)</f>
        <v>10376</v>
      </c>
      <c r="V12" s="8">
        <f>VLOOKUP(B12,'75- Deferred Amortization'!A:H,8,FALSE)</f>
        <v>0</v>
      </c>
      <c r="X12">
        <v>1</v>
      </c>
      <c r="Y12" s="8">
        <f t="shared" si="1"/>
        <v>0</v>
      </c>
      <c r="Z12" s="8">
        <f t="shared" si="2"/>
        <v>-1</v>
      </c>
      <c r="AB12" s="8">
        <f>'NOPEB asset change'!F11</f>
        <v>-154778</v>
      </c>
      <c r="AC12" s="8">
        <v>154778</v>
      </c>
      <c r="AD12" s="10">
        <v>135643</v>
      </c>
      <c r="AE12" s="10">
        <v>202161</v>
      </c>
      <c r="AF12" s="10">
        <v>11278</v>
      </c>
      <c r="AG12" s="8">
        <v>33148</v>
      </c>
      <c r="AH12" s="8">
        <v>85729</v>
      </c>
      <c r="AI12" s="8">
        <v>0</v>
      </c>
      <c r="AJ12" s="8">
        <v>26421</v>
      </c>
      <c r="AK12" s="8">
        <v>5512</v>
      </c>
      <c r="AM12" s="8">
        <f t="shared" si="11"/>
        <v>-5307</v>
      </c>
      <c r="AN12" s="8">
        <f t="shared" si="3"/>
        <v>-1102</v>
      </c>
      <c r="AO12" s="10">
        <f t="shared" si="4"/>
        <v>-53231</v>
      </c>
      <c r="AP12" s="8">
        <f t="shared" si="5"/>
        <v>149399</v>
      </c>
      <c r="AQ12" s="10">
        <f t="shared" si="6"/>
        <v>-8230</v>
      </c>
      <c r="AR12" s="8">
        <f t="shared" si="7"/>
        <v>68817</v>
      </c>
      <c r="AS12" s="8">
        <f t="shared" si="8"/>
        <v>-359199</v>
      </c>
      <c r="AT12" s="10">
        <f t="shared" si="9"/>
        <v>-41677</v>
      </c>
      <c r="AU12" s="8">
        <f t="shared" si="10"/>
        <v>0</v>
      </c>
      <c r="AV12" s="8">
        <f t="shared" si="12"/>
        <v>-204421</v>
      </c>
    </row>
    <row r="13" spans="1:48" x14ac:dyDescent="0.25">
      <c r="A13" t="s">
        <v>45</v>
      </c>
      <c r="B13">
        <v>21200</v>
      </c>
      <c r="C13" s="8">
        <f>VLOOKUP(B13,'ER Contributions'!A:D,4,FALSE)</f>
        <v>70407</v>
      </c>
      <c r="D13" s="9">
        <f>VLOOKUP(B13,'ER Contributions'!A:D,3,FALSE)</f>
        <v>3.0393E-3</v>
      </c>
      <c r="E13" s="8">
        <f>VLOOKUP(B13,'75 - Summary Exhibit'!A:N,3,FALSE)</f>
        <v>-100072</v>
      </c>
      <c r="F13" s="10">
        <f>VLOOKUP(B13,'75 - Summary Exhibit'!A:N,4,FALSE)</f>
        <v>40344</v>
      </c>
      <c r="G13" s="10">
        <f>VLOOKUP(B13,'75 - Summary Exhibit'!A:N,5,FALSE)</f>
        <v>78563</v>
      </c>
      <c r="H13" s="10">
        <f>VLOOKUP(B13,'75 - Summary Exhibit'!A:N,6,FALSE)</f>
        <v>1492</v>
      </c>
      <c r="I13" s="8">
        <f>VLOOKUP(B13,'75 - Summary Exhibit'!A:N,7,FALSE)</f>
        <v>9476</v>
      </c>
      <c r="J13" s="8">
        <f>VLOOKUP(B13,'75 - Summary Exhibit'!A:N,8,FALSE)</f>
        <v>115104</v>
      </c>
      <c r="K13" s="8">
        <f>VLOOKUP(B13,'75 - Summary Exhibit'!A:N,9,FALSE)</f>
        <v>0</v>
      </c>
      <c r="L13" s="8">
        <f>VLOOKUP(B13,'75 - Summary Exhibit'!A:N,10,FALSE)</f>
        <v>46623</v>
      </c>
      <c r="M13" s="8">
        <f>VLOOKUP(B13,'75 - Summary Exhibit'!A:N,11,FALSE)</f>
        <v>6263</v>
      </c>
      <c r="N13" s="8">
        <f>VLOOKUP(B13,'75 - Summary Exhibit'!A:N,12,FALSE)</f>
        <v>53385</v>
      </c>
      <c r="O13" s="8">
        <f>VLOOKUP(B13,'75 - Summary Exhibit'!A:N,13,FALSE)</f>
        <v>128</v>
      </c>
      <c r="P13" s="8">
        <f t="shared" si="0"/>
        <v>53513</v>
      </c>
      <c r="Q13" s="8">
        <f>VLOOKUP(B13,'75- Deferred Amortization'!A:H,3,FALSE)</f>
        <v>-39022</v>
      </c>
      <c r="R13" s="8">
        <f>VLOOKUP(B13,'75- Deferred Amortization'!A:H,4,FALSE)</f>
        <v>-25733</v>
      </c>
      <c r="S13" s="8">
        <f>VLOOKUP(B13,'75- Deferred Amortization'!A:H,5,FALSE)</f>
        <v>14167</v>
      </c>
      <c r="T13" s="8">
        <f>VLOOKUP(B13,'75- Deferred Amortization'!A:H,6,FALSE)</f>
        <v>6974</v>
      </c>
      <c r="U13" s="8">
        <f>VLOOKUP(B13,'75- Deferred Amortization'!A:H,7,FALSE)</f>
        <v>5499</v>
      </c>
      <c r="V13" s="8">
        <f>VLOOKUP(B13,'75- Deferred Amortization'!A:H,8,FALSE)</f>
        <v>0</v>
      </c>
      <c r="X13">
        <v>1</v>
      </c>
      <c r="Y13" s="8">
        <f t="shared" si="1"/>
        <v>0</v>
      </c>
      <c r="Z13" s="8">
        <f t="shared" si="2"/>
        <v>0</v>
      </c>
      <c r="AB13" s="8">
        <f>'NOPEB asset change'!F12</f>
        <v>-83126</v>
      </c>
      <c r="AC13" s="8">
        <v>83126</v>
      </c>
      <c r="AD13" s="10">
        <v>72849</v>
      </c>
      <c r="AE13" s="10">
        <v>108574</v>
      </c>
      <c r="AF13" s="10">
        <v>6057</v>
      </c>
      <c r="AG13" s="8">
        <v>9730</v>
      </c>
      <c r="AH13" s="8">
        <v>46042</v>
      </c>
      <c r="AI13" s="8">
        <v>0</v>
      </c>
      <c r="AJ13" s="8">
        <v>14190</v>
      </c>
      <c r="AK13" s="8">
        <v>8789</v>
      </c>
      <c r="AM13" s="8">
        <f t="shared" si="11"/>
        <v>-254</v>
      </c>
      <c r="AN13" s="8">
        <f t="shared" si="3"/>
        <v>-2526</v>
      </c>
      <c r="AO13" s="10">
        <f t="shared" si="4"/>
        <v>-32505</v>
      </c>
      <c r="AP13" s="8">
        <f t="shared" si="5"/>
        <v>69062</v>
      </c>
      <c r="AQ13" s="10">
        <f t="shared" si="6"/>
        <v>-4565</v>
      </c>
      <c r="AR13" s="8">
        <f t="shared" si="7"/>
        <v>32433</v>
      </c>
      <c r="AS13" s="8">
        <f t="shared" si="8"/>
        <v>-183198</v>
      </c>
      <c r="AT13" s="10">
        <f t="shared" si="9"/>
        <v>-30011</v>
      </c>
      <c r="AU13" s="8">
        <f t="shared" si="10"/>
        <v>0</v>
      </c>
      <c r="AV13" s="8">
        <f t="shared" si="12"/>
        <v>-100072</v>
      </c>
    </row>
    <row r="14" spans="1:48" x14ac:dyDescent="0.25">
      <c r="A14" t="s">
        <v>48</v>
      </c>
      <c r="B14">
        <v>21550</v>
      </c>
      <c r="C14" s="8">
        <f>VLOOKUP(B14,'ER Contributions'!A:D,4,FALSE)</f>
        <v>964268</v>
      </c>
      <c r="D14" s="9">
        <f>VLOOKUP(B14,'ER Contributions'!A:D,3,FALSE)</f>
        <v>4.5184299999999997E-2</v>
      </c>
      <c r="E14" s="8">
        <f>VLOOKUP(B14,'75 - Summary Exhibit'!A:N,3,FALSE)</f>
        <v>-1487738</v>
      </c>
      <c r="F14" s="10">
        <f>VLOOKUP(B14,'75 - Summary Exhibit'!A:N,4,FALSE)</f>
        <v>599776</v>
      </c>
      <c r="G14" s="10">
        <f>VLOOKUP(B14,'75 - Summary Exhibit'!A:N,5,FALSE)</f>
        <v>1167969</v>
      </c>
      <c r="H14" s="10">
        <f>VLOOKUP(B14,'75 - Summary Exhibit'!A:N,6,FALSE)</f>
        <v>22185</v>
      </c>
      <c r="I14" s="8">
        <f>VLOOKUP(B14,'75 - Summary Exhibit'!A:N,7,FALSE)</f>
        <v>0</v>
      </c>
      <c r="J14" s="8">
        <f>VLOOKUP(B14,'75 - Summary Exhibit'!A:N,8,FALSE)</f>
        <v>1711220</v>
      </c>
      <c r="K14" s="8">
        <f>VLOOKUP(B14,'75 - Summary Exhibit'!A:N,9,FALSE)</f>
        <v>0</v>
      </c>
      <c r="L14" s="8">
        <f>VLOOKUP(B14,'75 - Summary Exhibit'!A:N,10,FALSE)</f>
        <v>693127</v>
      </c>
      <c r="M14" s="8">
        <f>VLOOKUP(B14,'75 - Summary Exhibit'!A:N,11,FALSE)</f>
        <v>371567</v>
      </c>
      <c r="N14" s="8">
        <f>VLOOKUP(B14,'75 - Summary Exhibit'!A:N,12,FALSE)</f>
        <v>793662</v>
      </c>
      <c r="O14" s="8">
        <f>VLOOKUP(B14,'75 - Summary Exhibit'!A:N,13,FALSE)</f>
        <v>-133175</v>
      </c>
      <c r="P14" s="8">
        <f t="shared" si="0"/>
        <v>660487</v>
      </c>
      <c r="Q14" s="8">
        <f>VLOOKUP(B14,'75- Deferred Amortization'!A:H,3,FALSE)</f>
        <v>-709517</v>
      </c>
      <c r="R14" s="8">
        <f>VLOOKUP(B14,'75- Deferred Amortization'!A:H,4,FALSE)</f>
        <v>-507967</v>
      </c>
      <c r="S14" s="8">
        <f>VLOOKUP(B14,'75- Deferred Amortization'!A:H,5,FALSE)</f>
        <v>110605</v>
      </c>
      <c r="T14" s="8">
        <f>VLOOKUP(B14,'75- Deferred Amortization'!A:H,6,FALSE)</f>
        <v>63632</v>
      </c>
      <c r="U14" s="8">
        <f>VLOOKUP(B14,'75- Deferred Amortization'!A:H,7,FALSE)</f>
        <v>57265</v>
      </c>
      <c r="V14" s="8">
        <f>VLOOKUP(B14,'75- Deferred Amortization'!A:H,8,FALSE)</f>
        <v>0</v>
      </c>
      <c r="X14">
        <v>1</v>
      </c>
      <c r="Y14" s="8">
        <f t="shared" si="1"/>
        <v>-3</v>
      </c>
      <c r="Z14" s="8">
        <f t="shared" si="2"/>
        <v>-2</v>
      </c>
      <c r="AB14" s="8">
        <f>'NOPEB asset change'!F13</f>
        <v>-1247778</v>
      </c>
      <c r="AC14" s="8">
        <v>1247778</v>
      </c>
      <c r="AD14" s="10">
        <v>1093518</v>
      </c>
      <c r="AE14" s="10">
        <v>1629768</v>
      </c>
      <c r="AF14" s="10">
        <v>90923</v>
      </c>
      <c r="AG14" s="8">
        <v>0</v>
      </c>
      <c r="AH14" s="8">
        <v>691120</v>
      </c>
      <c r="AI14" s="8">
        <v>0</v>
      </c>
      <c r="AJ14" s="8">
        <v>212999</v>
      </c>
      <c r="AK14" s="8">
        <v>464336</v>
      </c>
      <c r="AM14" s="8">
        <f t="shared" si="11"/>
        <v>0</v>
      </c>
      <c r="AN14" s="8">
        <f t="shared" si="3"/>
        <v>-92769</v>
      </c>
      <c r="AO14" s="10">
        <f t="shared" si="4"/>
        <v>-493742</v>
      </c>
      <c r="AP14" s="8">
        <f t="shared" si="5"/>
        <v>1020100</v>
      </c>
      <c r="AQ14" s="10">
        <f t="shared" si="6"/>
        <v>-68738</v>
      </c>
      <c r="AR14" s="8">
        <f t="shared" si="7"/>
        <v>480128</v>
      </c>
      <c r="AS14" s="8">
        <f t="shared" si="8"/>
        <v>-2735516</v>
      </c>
      <c r="AT14" s="10">
        <f t="shared" si="9"/>
        <v>-461799</v>
      </c>
      <c r="AU14" s="8">
        <f t="shared" si="10"/>
        <v>0</v>
      </c>
      <c r="AV14" s="8">
        <f t="shared" si="12"/>
        <v>-1487738</v>
      </c>
    </row>
    <row r="15" spans="1:48" x14ac:dyDescent="0.25">
      <c r="A15" t="s">
        <v>47</v>
      </c>
      <c r="B15">
        <v>21520</v>
      </c>
      <c r="C15" s="8">
        <f>VLOOKUP(B15,'ER Contributions'!A:D,4,FALSE)</f>
        <v>1712493</v>
      </c>
      <c r="D15" s="9">
        <f>VLOOKUP(B15,'ER Contributions'!A:D,3,FALSE)</f>
        <v>7.8914600000000001E-2</v>
      </c>
      <c r="E15" s="8">
        <f>VLOOKUP(B15,'75 - Summary Exhibit'!A:N,3,FALSE)</f>
        <v>-2598342</v>
      </c>
      <c r="F15" s="10">
        <f>VLOOKUP(B15,'75 - Summary Exhibit'!A:N,4,FALSE)</f>
        <v>1047512</v>
      </c>
      <c r="G15" s="10">
        <f>VLOOKUP(B15,'75 - Summary Exhibit'!A:N,5,FALSE)</f>
        <v>2039863</v>
      </c>
      <c r="H15" s="10">
        <f>VLOOKUP(B15,'75 - Summary Exhibit'!A:N,6,FALSE)</f>
        <v>38747</v>
      </c>
      <c r="I15" s="8">
        <f>VLOOKUP(B15,'75 - Summary Exhibit'!A:N,7,FALSE)</f>
        <v>0</v>
      </c>
      <c r="J15" s="8">
        <f>VLOOKUP(B15,'75 - Summary Exhibit'!A:N,8,FALSE)</f>
        <v>2988654</v>
      </c>
      <c r="K15" s="8">
        <f>VLOOKUP(B15,'75 - Summary Exhibit'!A:N,9,FALSE)</f>
        <v>0</v>
      </c>
      <c r="L15" s="8">
        <f>VLOOKUP(B15,'75 - Summary Exhibit'!A:N,10,FALSE)</f>
        <v>1210550</v>
      </c>
      <c r="M15" s="8">
        <f>VLOOKUP(B15,'75 - Summary Exhibit'!A:N,11,FALSE)</f>
        <v>308450</v>
      </c>
      <c r="N15" s="8">
        <f>VLOOKUP(B15,'75 - Summary Exhibit'!A:N,12,FALSE)</f>
        <v>1386135</v>
      </c>
      <c r="O15" s="8">
        <f>VLOOKUP(B15,'75 - Summary Exhibit'!A:N,13,FALSE)</f>
        <v>-155516</v>
      </c>
      <c r="P15" s="8">
        <f t="shared" si="0"/>
        <v>1230619</v>
      </c>
      <c r="Q15" s="8">
        <f>VLOOKUP(B15,'75- Deferred Amortization'!A:H,3,FALSE)</f>
        <v>-1155969</v>
      </c>
      <c r="R15" s="8">
        <f>VLOOKUP(B15,'75- Deferred Amortization'!A:H,4,FALSE)</f>
        <v>-793193</v>
      </c>
      <c r="S15" s="8">
        <f>VLOOKUP(B15,'75- Deferred Amortization'!A:H,5,FALSE)</f>
        <v>304829</v>
      </c>
      <c r="T15" s="8">
        <f>VLOOKUP(B15,'75- Deferred Amortization'!A:H,6,FALSE)</f>
        <v>152534</v>
      </c>
      <c r="U15" s="8">
        <f>VLOOKUP(B15,'75- Deferred Amortization'!A:H,7,FALSE)</f>
        <v>110270</v>
      </c>
      <c r="V15" s="8">
        <f>VLOOKUP(B15,'75- Deferred Amortization'!A:H,8,FALSE)</f>
        <v>0</v>
      </c>
      <c r="X15">
        <v>1</v>
      </c>
      <c r="Y15" s="8">
        <f t="shared" si="1"/>
        <v>-3</v>
      </c>
      <c r="Z15" s="8">
        <f t="shared" si="2"/>
        <v>-3</v>
      </c>
      <c r="AB15" s="8">
        <f>'NOPEB asset change'!F14</f>
        <v>-2025860</v>
      </c>
      <c r="AC15" s="8">
        <v>2025860</v>
      </c>
      <c r="AD15" s="10">
        <v>1775408</v>
      </c>
      <c r="AE15" s="10">
        <v>2646049</v>
      </c>
      <c r="AF15" s="10">
        <v>147621</v>
      </c>
      <c r="AG15" s="8">
        <v>0</v>
      </c>
      <c r="AH15" s="8">
        <v>1122084</v>
      </c>
      <c r="AI15" s="8">
        <v>0</v>
      </c>
      <c r="AJ15" s="8">
        <v>345819</v>
      </c>
      <c r="AK15" s="8">
        <v>340376</v>
      </c>
      <c r="AM15" s="8">
        <f t="shared" si="11"/>
        <v>0</v>
      </c>
      <c r="AN15" s="8">
        <f t="shared" si="3"/>
        <v>-31926</v>
      </c>
      <c r="AO15" s="10">
        <f t="shared" si="4"/>
        <v>-727896</v>
      </c>
      <c r="AP15" s="8">
        <f t="shared" si="5"/>
        <v>1866570</v>
      </c>
      <c r="AQ15" s="10">
        <f t="shared" si="6"/>
        <v>-108874</v>
      </c>
      <c r="AR15" s="8">
        <f t="shared" si="7"/>
        <v>864731</v>
      </c>
      <c r="AS15" s="8">
        <f t="shared" si="8"/>
        <v>-4624202</v>
      </c>
      <c r="AT15" s="10">
        <f t="shared" si="9"/>
        <v>-606186</v>
      </c>
      <c r="AU15" s="8">
        <f t="shared" si="10"/>
        <v>0</v>
      </c>
      <c r="AV15" s="8">
        <f t="shared" si="12"/>
        <v>-2598342</v>
      </c>
    </row>
    <row r="16" spans="1:48" x14ac:dyDescent="0.25">
      <c r="A16" t="s">
        <v>51</v>
      </c>
      <c r="B16">
        <v>23000</v>
      </c>
      <c r="C16" s="8">
        <f>VLOOKUP(B16,'ER Contributions'!A:D,4,FALSE)</f>
        <v>54264</v>
      </c>
      <c r="D16" s="9">
        <f>VLOOKUP(B16,'ER Contributions'!A:D,3,FALSE)</f>
        <v>2.4903999999999998E-3</v>
      </c>
      <c r="E16" s="8">
        <f>VLOOKUP(B16,'75 - Summary Exhibit'!A:N,3,FALSE)</f>
        <v>-81999</v>
      </c>
      <c r="F16" s="10">
        <f>VLOOKUP(B16,'75 - Summary Exhibit'!A:N,4,FALSE)</f>
        <v>33058</v>
      </c>
      <c r="G16" s="10">
        <f>VLOOKUP(B16,'75 - Summary Exhibit'!A:N,5,FALSE)</f>
        <v>64374</v>
      </c>
      <c r="H16" s="10">
        <f>VLOOKUP(B16,'75 - Summary Exhibit'!A:N,6,FALSE)</f>
        <v>1223</v>
      </c>
      <c r="I16" s="8">
        <f>VLOOKUP(B16,'75 - Summary Exhibit'!A:N,7,FALSE)</f>
        <v>12110</v>
      </c>
      <c r="J16" s="8">
        <f>VLOOKUP(B16,'75 - Summary Exhibit'!A:N,8,FALSE)</f>
        <v>94316</v>
      </c>
      <c r="K16" s="8">
        <f>VLOOKUP(B16,'75 - Summary Exhibit'!A:N,9,FALSE)</f>
        <v>0</v>
      </c>
      <c r="L16" s="8">
        <f>VLOOKUP(B16,'75 - Summary Exhibit'!A:N,10,FALSE)</f>
        <v>38203</v>
      </c>
      <c r="M16" s="8">
        <f>VLOOKUP(B16,'75 - Summary Exhibit'!A:N,11,FALSE)</f>
        <v>4144</v>
      </c>
      <c r="N16" s="8">
        <f>VLOOKUP(B16,'75 - Summary Exhibit'!A:N,12,FALSE)</f>
        <v>43744</v>
      </c>
      <c r="O16" s="8">
        <f>VLOOKUP(B16,'75 - Summary Exhibit'!A:N,13,FALSE)</f>
        <v>838</v>
      </c>
      <c r="P16" s="8">
        <f t="shared" si="0"/>
        <v>44582</v>
      </c>
      <c r="Q16" s="8">
        <f>VLOOKUP(B16,'75- Deferred Amortization'!A:H,3,FALSE)</f>
        <v>-31249</v>
      </c>
      <c r="R16" s="8">
        <f>VLOOKUP(B16,'75- Deferred Amortization'!A:H,4,FALSE)</f>
        <v>-20223</v>
      </c>
      <c r="S16" s="8">
        <f>VLOOKUP(B16,'75- Deferred Amortization'!A:H,5,FALSE)</f>
        <v>14661</v>
      </c>
      <c r="T16" s="8">
        <f>VLOOKUP(B16,'75- Deferred Amortization'!A:H,6,FALSE)</f>
        <v>6667</v>
      </c>
      <c r="U16" s="8">
        <f>VLOOKUP(B16,'75- Deferred Amortization'!A:H,7,FALSE)</f>
        <v>4246</v>
      </c>
      <c r="V16" s="8">
        <f>VLOOKUP(B16,'75- Deferred Amortization'!A:H,8,FALSE)</f>
        <v>0</v>
      </c>
      <c r="X16">
        <v>1</v>
      </c>
      <c r="Y16" s="8">
        <f t="shared" si="1"/>
        <v>1</v>
      </c>
      <c r="Z16" s="8">
        <f t="shared" si="2"/>
        <v>0</v>
      </c>
      <c r="AB16" s="8">
        <f>'NOPEB asset change'!F15</f>
        <v>-62184</v>
      </c>
      <c r="AC16" s="8">
        <v>62184</v>
      </c>
      <c r="AD16" s="10">
        <v>54496</v>
      </c>
      <c r="AE16" s="10">
        <v>81221</v>
      </c>
      <c r="AF16" s="10">
        <v>4531</v>
      </c>
      <c r="AG16" s="8">
        <v>15555</v>
      </c>
      <c r="AH16" s="8">
        <v>34443</v>
      </c>
      <c r="AI16" s="8">
        <v>0</v>
      </c>
      <c r="AJ16" s="8">
        <v>10615</v>
      </c>
      <c r="AK16" s="8">
        <v>2143</v>
      </c>
      <c r="AM16" s="8">
        <f t="shared" si="11"/>
        <v>-3445</v>
      </c>
      <c r="AN16" s="8">
        <f t="shared" si="3"/>
        <v>2001</v>
      </c>
      <c r="AO16" s="10">
        <f t="shared" si="4"/>
        <v>-21438</v>
      </c>
      <c r="AP16" s="8">
        <f t="shared" si="5"/>
        <v>59873</v>
      </c>
      <c r="AQ16" s="10">
        <f t="shared" si="6"/>
        <v>-3308</v>
      </c>
      <c r="AR16" s="8">
        <f t="shared" si="7"/>
        <v>27588</v>
      </c>
      <c r="AS16" s="8">
        <f t="shared" si="8"/>
        <v>-144183</v>
      </c>
      <c r="AT16" s="10">
        <f t="shared" si="9"/>
        <v>-16847</v>
      </c>
      <c r="AU16" s="8">
        <f t="shared" si="10"/>
        <v>0</v>
      </c>
      <c r="AV16" s="8">
        <f t="shared" si="12"/>
        <v>-81999</v>
      </c>
    </row>
    <row r="17" spans="1:48" x14ac:dyDescent="0.25">
      <c r="A17" t="s">
        <v>52</v>
      </c>
      <c r="B17">
        <v>23100</v>
      </c>
      <c r="C17" s="8">
        <f>VLOOKUP(B17,'ER Contributions'!A:D,4,FALSE)</f>
        <v>358241</v>
      </c>
      <c r="D17" s="9">
        <f>VLOOKUP(B17,'ER Contributions'!A:D,3,FALSE)</f>
        <v>1.6268299999999999E-2</v>
      </c>
      <c r="E17" s="8">
        <f>VLOOKUP(B17,'75 - Summary Exhibit'!A:N,3,FALSE)</f>
        <v>-535650</v>
      </c>
      <c r="F17" s="10">
        <f>VLOOKUP(B17,'75 - Summary Exhibit'!A:N,4,FALSE)</f>
        <v>215945</v>
      </c>
      <c r="G17" s="10">
        <f>VLOOKUP(B17,'75 - Summary Exhibit'!A:N,5,FALSE)</f>
        <v>420519</v>
      </c>
      <c r="H17" s="10">
        <f>VLOOKUP(B17,'75 - Summary Exhibit'!A:N,6,FALSE)</f>
        <v>7988</v>
      </c>
      <c r="I17" s="8">
        <f>VLOOKUP(B17,'75 - Summary Exhibit'!A:N,7,FALSE)</f>
        <v>39371</v>
      </c>
      <c r="J17" s="8">
        <f>VLOOKUP(B17,'75 - Summary Exhibit'!A:N,8,FALSE)</f>
        <v>616113</v>
      </c>
      <c r="K17" s="8">
        <f>VLOOKUP(B17,'75 - Summary Exhibit'!A:N,9,FALSE)</f>
        <v>0</v>
      </c>
      <c r="L17" s="8">
        <f>VLOOKUP(B17,'75 - Summary Exhibit'!A:N,10,FALSE)</f>
        <v>249556</v>
      </c>
      <c r="M17" s="8">
        <f>VLOOKUP(B17,'75 - Summary Exhibit'!A:N,11,FALSE)</f>
        <v>64160</v>
      </c>
      <c r="N17" s="8">
        <f>VLOOKUP(B17,'75 - Summary Exhibit'!A:N,12,FALSE)</f>
        <v>285753</v>
      </c>
      <c r="O17" s="8">
        <f>VLOOKUP(B17,'75 - Summary Exhibit'!A:N,13,FALSE)</f>
        <v>-22689</v>
      </c>
      <c r="P17" s="8">
        <f t="shared" si="0"/>
        <v>263064</v>
      </c>
      <c r="Q17" s="8">
        <f>VLOOKUP(B17,'75- Deferred Amortization'!A:H,3,FALSE)</f>
        <v>-230321</v>
      </c>
      <c r="R17" s="8">
        <f>VLOOKUP(B17,'75- Deferred Amortization'!A:H,4,FALSE)</f>
        <v>-155545</v>
      </c>
      <c r="S17" s="8">
        <f>VLOOKUP(B17,'75- Deferred Amortization'!A:H,5,FALSE)</f>
        <v>69695</v>
      </c>
      <c r="T17" s="8">
        <f>VLOOKUP(B17,'75- Deferred Amortization'!A:H,6,FALSE)</f>
        <v>40370</v>
      </c>
      <c r="U17" s="8">
        <f>VLOOKUP(B17,'75- Deferred Amortization'!A:H,7,FALSE)</f>
        <v>29797</v>
      </c>
      <c r="V17" s="8">
        <f>VLOOKUP(B17,'75- Deferred Amortization'!A:H,8,FALSE)</f>
        <v>0</v>
      </c>
      <c r="X17">
        <v>1</v>
      </c>
      <c r="Y17" s="8">
        <f t="shared" si="1"/>
        <v>-1</v>
      </c>
      <c r="Z17" s="8">
        <f t="shared" si="2"/>
        <v>-2</v>
      </c>
      <c r="AB17" s="8">
        <f>'NOPEB asset change'!F16</f>
        <v>-414121</v>
      </c>
      <c r="AC17" s="8">
        <v>414121</v>
      </c>
      <c r="AD17" s="10">
        <v>362924</v>
      </c>
      <c r="AE17" s="10">
        <v>540898</v>
      </c>
      <c r="AF17" s="10">
        <v>30176</v>
      </c>
      <c r="AG17" s="8">
        <v>48065</v>
      </c>
      <c r="AH17" s="8">
        <v>229373</v>
      </c>
      <c r="AI17" s="8">
        <v>0</v>
      </c>
      <c r="AJ17" s="8">
        <v>70691</v>
      </c>
      <c r="AK17" s="8">
        <v>73410</v>
      </c>
      <c r="AM17" s="8">
        <f t="shared" si="11"/>
        <v>-8694</v>
      </c>
      <c r="AN17" s="8">
        <f t="shared" si="3"/>
        <v>-9250</v>
      </c>
      <c r="AO17" s="10">
        <f t="shared" si="4"/>
        <v>-146979</v>
      </c>
      <c r="AP17" s="8">
        <f t="shared" si="5"/>
        <v>386740</v>
      </c>
      <c r="AQ17" s="10">
        <f t="shared" si="6"/>
        <v>-22188</v>
      </c>
      <c r="AR17" s="8">
        <f t="shared" si="7"/>
        <v>178865</v>
      </c>
      <c r="AS17" s="8">
        <f t="shared" si="8"/>
        <v>-949771</v>
      </c>
      <c r="AT17" s="10">
        <f t="shared" si="9"/>
        <v>-120379</v>
      </c>
      <c r="AU17" s="8">
        <f t="shared" si="10"/>
        <v>0</v>
      </c>
      <c r="AV17" s="8">
        <f t="shared" si="12"/>
        <v>-535650</v>
      </c>
    </row>
    <row r="18" spans="1:48" x14ac:dyDescent="0.25">
      <c r="A18" t="s">
        <v>44</v>
      </c>
      <c r="B18">
        <v>20900</v>
      </c>
      <c r="C18" s="8">
        <f>VLOOKUP(B18,'ER Contributions'!A:D,4,FALSE)</f>
        <v>212257</v>
      </c>
      <c r="D18" s="9">
        <f>VLOOKUP(B18,'ER Contributions'!A:D,3,FALSE)</f>
        <v>9.1547999999999994E-3</v>
      </c>
      <c r="E18" s="8">
        <f>VLOOKUP(B18,'75 - Summary Exhibit'!A:N,3,FALSE)</f>
        <v>-301431</v>
      </c>
      <c r="F18" s="10">
        <f>VLOOKUP(B18,'75 - Summary Exhibit'!A:N,4,FALSE)</f>
        <v>121521</v>
      </c>
      <c r="G18" s="10">
        <f>VLOOKUP(B18,'75 - Summary Exhibit'!A:N,5,FALSE)</f>
        <v>236642</v>
      </c>
      <c r="H18" s="10">
        <f>VLOOKUP(B18,'75 - Summary Exhibit'!A:N,6,FALSE)</f>
        <v>4495</v>
      </c>
      <c r="I18" s="8">
        <f>VLOOKUP(B18,'75 - Summary Exhibit'!A:N,7,FALSE)</f>
        <v>26246</v>
      </c>
      <c r="J18" s="8">
        <f>VLOOKUP(B18,'75 - Summary Exhibit'!A:N,8,FALSE)</f>
        <v>346711</v>
      </c>
      <c r="K18" s="8">
        <f>VLOOKUP(B18,'75 - Summary Exhibit'!A:N,9,FALSE)</f>
        <v>0</v>
      </c>
      <c r="L18" s="8">
        <f>VLOOKUP(B18,'75 - Summary Exhibit'!A:N,10,FALSE)</f>
        <v>140435</v>
      </c>
      <c r="M18" s="8">
        <f>VLOOKUP(B18,'75 - Summary Exhibit'!A:N,11,FALSE)</f>
        <v>18402</v>
      </c>
      <c r="N18" s="8">
        <f>VLOOKUP(B18,'75 - Summary Exhibit'!A:N,12,FALSE)</f>
        <v>160804</v>
      </c>
      <c r="O18" s="8">
        <f>VLOOKUP(B18,'75 - Summary Exhibit'!A:N,13,FALSE)</f>
        <v>6539</v>
      </c>
      <c r="P18" s="8">
        <f t="shared" si="0"/>
        <v>167343</v>
      </c>
      <c r="Q18" s="8">
        <f>VLOOKUP(B18,'75- Deferred Amortization'!A:H,3,FALSE)</f>
        <v>-110393</v>
      </c>
      <c r="R18" s="8">
        <f>VLOOKUP(B18,'75- Deferred Amortization'!A:H,4,FALSE)</f>
        <v>-80468</v>
      </c>
      <c r="S18" s="8">
        <f>VLOOKUP(B18,'75- Deferred Amortization'!A:H,5,FALSE)</f>
        <v>38832</v>
      </c>
      <c r="T18" s="8">
        <f>VLOOKUP(B18,'75- Deferred Amortization'!A:H,6,FALSE)</f>
        <v>20534</v>
      </c>
      <c r="U18" s="8">
        <f>VLOOKUP(B18,'75- Deferred Amortization'!A:H,7,FALSE)</f>
        <v>14853</v>
      </c>
      <c r="V18" s="8">
        <f>VLOOKUP(B18,'75- Deferred Amortization'!A:H,8,FALSE)</f>
        <v>0</v>
      </c>
      <c r="X18">
        <v>1</v>
      </c>
      <c r="Y18" s="8">
        <f t="shared" si="1"/>
        <v>-2</v>
      </c>
      <c r="Z18" s="8">
        <f t="shared" si="2"/>
        <v>-2</v>
      </c>
      <c r="AB18" s="8">
        <f>'NOPEB asset change'!F17</f>
        <v>-255058</v>
      </c>
      <c r="AC18" s="8">
        <v>255058</v>
      </c>
      <c r="AD18" s="10">
        <v>223526</v>
      </c>
      <c r="AE18" s="10">
        <v>333141</v>
      </c>
      <c r="AF18" s="10">
        <v>18586</v>
      </c>
      <c r="AG18" s="8">
        <v>29427</v>
      </c>
      <c r="AH18" s="8">
        <v>141272</v>
      </c>
      <c r="AI18" s="8">
        <v>0</v>
      </c>
      <c r="AJ18" s="8">
        <v>43539</v>
      </c>
      <c r="AK18" s="8">
        <v>24936</v>
      </c>
      <c r="AM18" s="8">
        <f t="shared" si="11"/>
        <v>-3181</v>
      </c>
      <c r="AN18" s="8">
        <f t="shared" si="3"/>
        <v>-6534</v>
      </c>
      <c r="AO18" s="10">
        <f t="shared" si="4"/>
        <v>-102005</v>
      </c>
      <c r="AP18" s="8">
        <f t="shared" si="5"/>
        <v>205439</v>
      </c>
      <c r="AQ18" s="10">
        <f t="shared" si="6"/>
        <v>-14091</v>
      </c>
      <c r="AR18" s="8">
        <f t="shared" si="7"/>
        <v>96896</v>
      </c>
      <c r="AS18" s="8">
        <f t="shared" si="8"/>
        <v>-556489</v>
      </c>
      <c r="AT18" s="10">
        <f t="shared" si="9"/>
        <v>-96499</v>
      </c>
      <c r="AU18" s="8">
        <f t="shared" si="10"/>
        <v>0</v>
      </c>
      <c r="AV18" s="8">
        <f t="shared" si="12"/>
        <v>-301431</v>
      </c>
    </row>
    <row r="19" spans="1:48" x14ac:dyDescent="0.25">
      <c r="A19" t="s">
        <v>53</v>
      </c>
      <c r="B19">
        <v>23200</v>
      </c>
      <c r="C19" s="8">
        <f>VLOOKUP(B19,'ER Contributions'!A:D,4,FALSE)</f>
        <v>206247</v>
      </c>
      <c r="D19" s="9">
        <f>VLOOKUP(B19,'ER Contributions'!A:D,3,FALSE)</f>
        <v>9.3980000000000001E-3</v>
      </c>
      <c r="E19" s="8">
        <f>VLOOKUP(B19,'75 - Summary Exhibit'!A:N,3,FALSE)</f>
        <v>-309439</v>
      </c>
      <c r="F19" s="10">
        <f>VLOOKUP(B19,'75 - Summary Exhibit'!A:N,4,FALSE)</f>
        <v>124749</v>
      </c>
      <c r="G19" s="10">
        <f>VLOOKUP(B19,'75 - Summary Exhibit'!A:N,5,FALSE)</f>
        <v>242929</v>
      </c>
      <c r="H19" s="10">
        <f>VLOOKUP(B19,'75 - Summary Exhibit'!A:N,6,FALSE)</f>
        <v>4614</v>
      </c>
      <c r="I19" s="8">
        <f>VLOOKUP(B19,'75 - Summary Exhibit'!A:N,7,FALSE)</f>
        <v>0</v>
      </c>
      <c r="J19" s="8">
        <f>VLOOKUP(B19,'75 - Summary Exhibit'!A:N,8,FALSE)</f>
        <v>355921</v>
      </c>
      <c r="K19" s="8">
        <f>VLOOKUP(B19,'75 - Summary Exhibit'!A:N,9,FALSE)</f>
        <v>0</v>
      </c>
      <c r="L19" s="8">
        <f>VLOOKUP(B19,'75 - Summary Exhibit'!A:N,10,FALSE)</f>
        <v>144165</v>
      </c>
      <c r="M19" s="8">
        <f>VLOOKUP(B19,'75 - Summary Exhibit'!A:N,11,FALSE)</f>
        <v>56209</v>
      </c>
      <c r="N19" s="8">
        <f>VLOOKUP(B19,'75 - Summary Exhibit'!A:N,12,FALSE)</f>
        <v>165076</v>
      </c>
      <c r="O19" s="8">
        <f>VLOOKUP(B19,'75 - Summary Exhibit'!A:N,13,FALSE)</f>
        <v>-22799</v>
      </c>
      <c r="P19" s="8">
        <f t="shared" si="0"/>
        <v>142277</v>
      </c>
      <c r="Q19" s="8">
        <f>VLOOKUP(B19,'75- Deferred Amortization'!A:H,3,FALSE)</f>
        <v>-142856</v>
      </c>
      <c r="R19" s="8">
        <f>VLOOKUP(B19,'75- Deferred Amortization'!A:H,4,FALSE)</f>
        <v>-100600</v>
      </c>
      <c r="S19" s="8">
        <f>VLOOKUP(B19,'75- Deferred Amortization'!A:H,5,FALSE)</f>
        <v>29057</v>
      </c>
      <c r="T19" s="8">
        <f>VLOOKUP(B19,'75- Deferred Amortization'!A:H,6,FALSE)</f>
        <v>18262</v>
      </c>
      <c r="U19" s="8">
        <f>VLOOKUP(B19,'75- Deferred Amortization'!A:H,7,FALSE)</f>
        <v>12133</v>
      </c>
      <c r="V19" s="8">
        <f>VLOOKUP(B19,'75- Deferred Amortization'!A:H,8,FALSE)</f>
        <v>0</v>
      </c>
      <c r="X19">
        <v>1</v>
      </c>
      <c r="Y19" s="8">
        <f t="shared" si="1"/>
        <v>0</v>
      </c>
      <c r="Z19" s="8">
        <f t="shared" si="2"/>
        <v>1</v>
      </c>
      <c r="AB19" s="8">
        <f>'NOPEB asset change'!F18</f>
        <v>-243181</v>
      </c>
      <c r="AC19" s="8">
        <v>243181</v>
      </c>
      <c r="AD19" s="10">
        <v>213117</v>
      </c>
      <c r="AE19" s="10">
        <v>317627</v>
      </c>
      <c r="AF19" s="10">
        <v>17720</v>
      </c>
      <c r="AG19" s="8">
        <v>0</v>
      </c>
      <c r="AH19" s="8">
        <v>134693</v>
      </c>
      <c r="AI19" s="8">
        <v>0</v>
      </c>
      <c r="AJ19" s="8">
        <v>41511</v>
      </c>
      <c r="AK19" s="8">
        <v>67613</v>
      </c>
      <c r="AM19" s="8">
        <f t="shared" si="11"/>
        <v>0</v>
      </c>
      <c r="AN19" s="8">
        <f t="shared" si="3"/>
        <v>-11404</v>
      </c>
      <c r="AO19" s="10">
        <f t="shared" si="4"/>
        <v>-88368</v>
      </c>
      <c r="AP19" s="8">
        <f t="shared" si="5"/>
        <v>221228</v>
      </c>
      <c r="AQ19" s="10">
        <f t="shared" si="6"/>
        <v>-13106</v>
      </c>
      <c r="AR19" s="8">
        <f t="shared" si="7"/>
        <v>102654</v>
      </c>
      <c r="AS19" s="8">
        <f t="shared" si="8"/>
        <v>-552620</v>
      </c>
      <c r="AT19" s="10">
        <f t="shared" si="9"/>
        <v>-74698</v>
      </c>
      <c r="AU19" s="8">
        <f t="shared" si="10"/>
        <v>0</v>
      </c>
      <c r="AV19" s="8">
        <f t="shared" si="12"/>
        <v>-309439</v>
      </c>
    </row>
    <row r="20" spans="1:48" x14ac:dyDescent="0.25">
      <c r="A20" t="s">
        <v>49</v>
      </c>
      <c r="B20">
        <v>21800</v>
      </c>
      <c r="C20" s="8">
        <f>VLOOKUP(B20,'ER Contributions'!A:D,4,FALSE)</f>
        <v>132817</v>
      </c>
      <c r="D20" s="9">
        <f>VLOOKUP(B20,'ER Contributions'!A:D,3,FALSE)</f>
        <v>6.0080999999999997E-3</v>
      </c>
      <c r="E20" s="8">
        <f>VLOOKUP(B20,'75 - Summary Exhibit'!A:N,3,FALSE)</f>
        <v>-197823</v>
      </c>
      <c r="F20" s="10">
        <f>VLOOKUP(B20,'75 - Summary Exhibit'!A:N,4,FALSE)</f>
        <v>79752</v>
      </c>
      <c r="G20" s="10">
        <f>VLOOKUP(B20,'75 - Summary Exhibit'!A:N,5,FALSE)</f>
        <v>155303</v>
      </c>
      <c r="H20" s="10">
        <f>VLOOKUP(B20,'75 - Summary Exhibit'!A:N,6,FALSE)</f>
        <v>2950</v>
      </c>
      <c r="I20" s="8">
        <f>VLOOKUP(B20,'75 - Summary Exhibit'!A:N,7,FALSE)</f>
        <v>3674</v>
      </c>
      <c r="J20" s="8">
        <f>VLOOKUP(B20,'75 - Summary Exhibit'!A:N,8,FALSE)</f>
        <v>227539</v>
      </c>
      <c r="K20" s="8">
        <f>VLOOKUP(B20,'75 - Summary Exhibit'!A:N,9,FALSE)</f>
        <v>0</v>
      </c>
      <c r="L20" s="8">
        <f>VLOOKUP(B20,'75 - Summary Exhibit'!A:N,10,FALSE)</f>
        <v>92164</v>
      </c>
      <c r="M20" s="8">
        <f>VLOOKUP(B20,'75 - Summary Exhibit'!A:N,11,FALSE)</f>
        <v>15538</v>
      </c>
      <c r="N20" s="8">
        <f>VLOOKUP(B20,'75 - Summary Exhibit'!A:N,12,FALSE)</f>
        <v>105532</v>
      </c>
      <c r="O20" s="8">
        <f>VLOOKUP(B20,'75 - Summary Exhibit'!A:N,13,FALSE)</f>
        <v>-7105</v>
      </c>
      <c r="P20" s="8">
        <f t="shared" si="0"/>
        <v>98427</v>
      </c>
      <c r="Q20" s="8">
        <f>VLOOKUP(B20,'75- Deferred Amortization'!A:H,3,FALSE)</f>
        <v>-82731</v>
      </c>
      <c r="R20" s="8">
        <f>VLOOKUP(B20,'75- Deferred Amortization'!A:H,4,FALSE)</f>
        <v>-57526</v>
      </c>
      <c r="S20" s="8">
        <f>VLOOKUP(B20,'75- Deferred Amortization'!A:H,5,FALSE)</f>
        <v>24824</v>
      </c>
      <c r="T20" s="8">
        <f>VLOOKUP(B20,'75- Deferred Amortization'!A:H,6,FALSE)</f>
        <v>12583</v>
      </c>
      <c r="U20" s="8">
        <f>VLOOKUP(B20,'75- Deferred Amortization'!A:H,7,FALSE)</f>
        <v>9287</v>
      </c>
      <c r="V20" s="8">
        <f>VLOOKUP(B20,'75- Deferred Amortization'!A:H,8,FALSE)</f>
        <v>0</v>
      </c>
      <c r="X20">
        <v>1</v>
      </c>
      <c r="Y20" s="8">
        <f t="shared" si="1"/>
        <v>-1</v>
      </c>
      <c r="Z20" s="8">
        <f t="shared" si="2"/>
        <v>1</v>
      </c>
      <c r="AB20" s="8">
        <f>'NOPEB asset change'!F19</f>
        <v>-156720</v>
      </c>
      <c r="AC20" s="8">
        <v>156720</v>
      </c>
      <c r="AD20" s="10">
        <v>137345</v>
      </c>
      <c r="AE20" s="10">
        <v>204697</v>
      </c>
      <c r="AF20" s="10">
        <v>11420</v>
      </c>
      <c r="AG20" s="8">
        <v>4408</v>
      </c>
      <c r="AH20" s="8">
        <v>86804</v>
      </c>
      <c r="AI20" s="8">
        <v>0</v>
      </c>
      <c r="AJ20" s="8">
        <v>26752</v>
      </c>
      <c r="AK20" s="8">
        <v>17722</v>
      </c>
      <c r="AM20" s="8">
        <f t="shared" si="11"/>
        <v>-734</v>
      </c>
      <c r="AN20" s="8">
        <f t="shared" si="3"/>
        <v>-2184</v>
      </c>
      <c r="AO20" s="10">
        <f t="shared" si="4"/>
        <v>-57593</v>
      </c>
      <c r="AP20" s="8">
        <f t="shared" si="5"/>
        <v>140735</v>
      </c>
      <c r="AQ20" s="10">
        <f t="shared" si="6"/>
        <v>-8470</v>
      </c>
      <c r="AR20" s="8">
        <f t="shared" si="7"/>
        <v>65412</v>
      </c>
      <c r="AS20" s="8">
        <f t="shared" si="8"/>
        <v>-354543</v>
      </c>
      <c r="AT20" s="10">
        <f t="shared" si="9"/>
        <v>-49394</v>
      </c>
      <c r="AU20" s="8">
        <f t="shared" si="10"/>
        <v>0</v>
      </c>
      <c r="AV20" s="8">
        <f t="shared" si="12"/>
        <v>-197823</v>
      </c>
    </row>
    <row r="21" spans="1:48" x14ac:dyDescent="0.25">
      <c r="A21" t="s">
        <v>50</v>
      </c>
      <c r="B21">
        <v>21900</v>
      </c>
      <c r="C21" s="8">
        <f>VLOOKUP(B21,'ER Contributions'!A:D,4,FALSE)</f>
        <v>64069</v>
      </c>
      <c r="D21" s="9">
        <f>VLOOKUP(B21,'ER Contributions'!A:D,3,FALSE)</f>
        <v>2.4409000000000002E-3</v>
      </c>
      <c r="E21" s="8">
        <f>VLOOKUP(B21,'75 - Summary Exhibit'!A:N,3,FALSE)</f>
        <v>-80369</v>
      </c>
      <c r="F21" s="10">
        <f>VLOOKUP(B21,'75 - Summary Exhibit'!A:N,4,FALSE)</f>
        <v>32401</v>
      </c>
      <c r="G21" s="10">
        <f>VLOOKUP(B21,'75 - Summary Exhibit'!A:N,5,FALSE)</f>
        <v>63095</v>
      </c>
      <c r="H21" s="10">
        <f>VLOOKUP(B21,'75 - Summary Exhibit'!A:N,6,FALSE)</f>
        <v>1198</v>
      </c>
      <c r="I21" s="8">
        <f>VLOOKUP(B21,'75 - Summary Exhibit'!A:N,7,FALSE)</f>
        <v>46101</v>
      </c>
      <c r="J21" s="8">
        <f>VLOOKUP(B21,'75 - Summary Exhibit'!A:N,8,FALSE)</f>
        <v>92442</v>
      </c>
      <c r="K21" s="8">
        <f>VLOOKUP(B21,'75 - Summary Exhibit'!A:N,9,FALSE)</f>
        <v>0</v>
      </c>
      <c r="L21" s="8">
        <f>VLOOKUP(B21,'75 - Summary Exhibit'!A:N,10,FALSE)</f>
        <v>37443</v>
      </c>
      <c r="M21" s="8">
        <f>VLOOKUP(B21,'75 - Summary Exhibit'!A:N,11,FALSE)</f>
        <v>0</v>
      </c>
      <c r="N21" s="8">
        <f>VLOOKUP(B21,'75 - Summary Exhibit'!A:N,12,FALSE)</f>
        <v>42874</v>
      </c>
      <c r="O21" s="8">
        <f>VLOOKUP(B21,'75 - Summary Exhibit'!A:N,13,FALSE)</f>
        <v>16416</v>
      </c>
      <c r="P21" s="8">
        <f t="shared" si="0"/>
        <v>59290</v>
      </c>
      <c r="Q21" s="8">
        <f>VLOOKUP(B21,'75- Deferred Amortization'!A:H,3,FALSE)</f>
        <v>-15739</v>
      </c>
      <c r="R21" s="8">
        <f>VLOOKUP(B21,'75- Deferred Amortization'!A:H,4,FALSE)</f>
        <v>-7902</v>
      </c>
      <c r="S21" s="8">
        <f>VLOOKUP(B21,'75- Deferred Amortization'!A:H,5,FALSE)</f>
        <v>21818</v>
      </c>
      <c r="T21" s="8">
        <f>VLOOKUP(B21,'75- Deferred Amortization'!A:H,6,FALSE)</f>
        <v>9263</v>
      </c>
      <c r="U21" s="8">
        <f>VLOOKUP(B21,'75- Deferred Amortization'!A:H,7,FALSE)</f>
        <v>5471</v>
      </c>
      <c r="V21" s="8">
        <f>VLOOKUP(B21,'75- Deferred Amortization'!A:H,8,FALSE)</f>
        <v>0</v>
      </c>
      <c r="X21">
        <v>1</v>
      </c>
      <c r="Y21" s="8">
        <f t="shared" si="1"/>
        <v>0</v>
      </c>
      <c r="Z21" s="8">
        <f t="shared" si="2"/>
        <v>-1</v>
      </c>
      <c r="AB21" s="8">
        <f>'NOPEB asset change'!F20</f>
        <v>-65737</v>
      </c>
      <c r="AC21" s="8">
        <v>65737</v>
      </c>
      <c r="AD21" s="10">
        <v>57610</v>
      </c>
      <c r="AE21" s="10">
        <v>85862</v>
      </c>
      <c r="AF21" s="10">
        <v>4790</v>
      </c>
      <c r="AG21" s="8">
        <v>53608</v>
      </c>
      <c r="AH21" s="8">
        <v>36411</v>
      </c>
      <c r="AI21" s="8">
        <v>0</v>
      </c>
      <c r="AJ21" s="8">
        <v>11222</v>
      </c>
      <c r="AK21" s="8">
        <v>0</v>
      </c>
      <c r="AM21" s="8">
        <f t="shared" si="11"/>
        <v>-7507</v>
      </c>
      <c r="AN21" s="8">
        <f t="shared" si="3"/>
        <v>0</v>
      </c>
      <c r="AO21" s="10">
        <f t="shared" si="4"/>
        <v>-25209</v>
      </c>
      <c r="AP21" s="8">
        <f t="shared" si="5"/>
        <v>56031</v>
      </c>
      <c r="AQ21" s="10">
        <f t="shared" si="6"/>
        <v>-3592</v>
      </c>
      <c r="AR21" s="8">
        <f t="shared" si="7"/>
        <v>26221</v>
      </c>
      <c r="AS21" s="8">
        <f t="shared" si="8"/>
        <v>-146106</v>
      </c>
      <c r="AT21" s="10">
        <f t="shared" si="9"/>
        <v>-22767</v>
      </c>
      <c r="AU21" s="8">
        <f t="shared" si="10"/>
        <v>0</v>
      </c>
      <c r="AV21" s="8">
        <f t="shared" si="12"/>
        <v>-80369</v>
      </c>
    </row>
    <row r="22" spans="1:48" x14ac:dyDescent="0.25">
      <c r="A22" t="s">
        <v>54</v>
      </c>
      <c r="B22">
        <v>30105</v>
      </c>
      <c r="C22" s="8">
        <f>VLOOKUP(B22,'ER Contributions'!A:D,4,FALSE)</f>
        <v>17540</v>
      </c>
      <c r="D22" s="9">
        <f>VLOOKUP(B22,'ER Contributions'!A:D,3,FALSE)</f>
        <v>7.0890000000000005E-4</v>
      </c>
      <c r="E22" s="8">
        <f>VLOOKUP(B22,'75 - Summary Exhibit'!A:N,3,FALSE)</f>
        <v>-23341</v>
      </c>
      <c r="F22" s="10">
        <f>VLOOKUP(B22,'75 - Summary Exhibit'!A:N,4,FALSE)</f>
        <v>9410</v>
      </c>
      <c r="G22" s="10">
        <f>VLOOKUP(B22,'75 - Summary Exhibit'!A:N,5,FALSE)</f>
        <v>18324</v>
      </c>
      <c r="H22" s="10">
        <f>VLOOKUP(B22,'75 - Summary Exhibit'!A:N,6,FALSE)</f>
        <v>348</v>
      </c>
      <c r="I22" s="8">
        <f>VLOOKUP(B22,'75 - Summary Exhibit'!A:N,7,FALSE)</f>
        <v>7580</v>
      </c>
      <c r="J22" s="8">
        <f>VLOOKUP(B22,'75 - Summary Exhibit'!A:N,8,FALSE)</f>
        <v>26847</v>
      </c>
      <c r="K22" s="8">
        <f>VLOOKUP(B22,'75 - Summary Exhibit'!A:N,9,FALSE)</f>
        <v>0</v>
      </c>
      <c r="L22" s="8">
        <f>VLOOKUP(B22,'75 - Summary Exhibit'!A:N,10,FALSE)</f>
        <v>10875</v>
      </c>
      <c r="M22" s="8">
        <f>VLOOKUP(B22,'75 - Summary Exhibit'!A:N,11,FALSE)</f>
        <v>0</v>
      </c>
      <c r="N22" s="8">
        <f>VLOOKUP(B22,'75 - Summary Exhibit'!A:N,12,FALSE)</f>
        <v>12452</v>
      </c>
      <c r="O22" s="8">
        <f>VLOOKUP(B22,'75 - Summary Exhibit'!A:N,13,FALSE)</f>
        <v>2685</v>
      </c>
      <c r="P22" s="8">
        <f t="shared" si="0"/>
        <v>15137</v>
      </c>
      <c r="Q22" s="8">
        <f>VLOOKUP(B22,'75- Deferred Amortization'!A:H,3,FALSE)</f>
        <v>-6387</v>
      </c>
      <c r="R22" s="8">
        <f>VLOOKUP(B22,'75- Deferred Amortization'!A:H,4,FALSE)</f>
        <v>-4219</v>
      </c>
      <c r="S22" s="8">
        <f>VLOOKUP(B22,'75- Deferred Amortization'!A:H,5,FALSE)</f>
        <v>4897</v>
      </c>
      <c r="T22" s="8">
        <f>VLOOKUP(B22,'75- Deferred Amortization'!A:H,6,FALSE)</f>
        <v>2400</v>
      </c>
      <c r="U22" s="8">
        <f>VLOOKUP(B22,'75- Deferred Amortization'!A:H,7,FALSE)</f>
        <v>1250</v>
      </c>
      <c r="V22" s="8">
        <f>VLOOKUP(B22,'75- Deferred Amortization'!A:H,8,FALSE)</f>
        <v>0</v>
      </c>
      <c r="X22">
        <v>2</v>
      </c>
      <c r="Y22" s="8">
        <f t="shared" si="1"/>
        <v>-1</v>
      </c>
      <c r="Z22" s="8">
        <f t="shared" si="2"/>
        <v>-1</v>
      </c>
      <c r="AB22" s="8">
        <f>'NOPEB asset change'!F21</f>
        <v>-18343</v>
      </c>
      <c r="AC22" s="8">
        <v>18343</v>
      </c>
      <c r="AD22" s="10">
        <v>16076</v>
      </c>
      <c r="AE22" s="10">
        <v>23959</v>
      </c>
      <c r="AF22" s="10">
        <v>1337</v>
      </c>
      <c r="AG22" s="8">
        <v>9197</v>
      </c>
      <c r="AH22" s="8">
        <v>10160</v>
      </c>
      <c r="AI22" s="8">
        <v>0</v>
      </c>
      <c r="AJ22" s="8">
        <v>3131</v>
      </c>
      <c r="AK22" s="8">
        <v>56</v>
      </c>
      <c r="AM22" s="8">
        <f t="shared" si="11"/>
        <v>-1617</v>
      </c>
      <c r="AN22" s="8">
        <f t="shared" si="3"/>
        <v>-56</v>
      </c>
      <c r="AO22" s="10">
        <f t="shared" si="4"/>
        <v>-6666</v>
      </c>
      <c r="AP22" s="8">
        <f t="shared" si="5"/>
        <v>16687</v>
      </c>
      <c r="AQ22" s="10">
        <f t="shared" si="6"/>
        <v>-989</v>
      </c>
      <c r="AR22" s="8">
        <f t="shared" si="7"/>
        <v>7744</v>
      </c>
      <c r="AS22" s="8">
        <f t="shared" si="8"/>
        <v>-41684</v>
      </c>
      <c r="AT22" s="10">
        <f t="shared" si="9"/>
        <v>-5635</v>
      </c>
      <c r="AU22" s="8">
        <f t="shared" si="10"/>
        <v>0</v>
      </c>
      <c r="AV22" s="8">
        <f t="shared" si="12"/>
        <v>-23341</v>
      </c>
    </row>
    <row r="23" spans="1:48" x14ac:dyDescent="0.25">
      <c r="A23" t="s">
        <v>59</v>
      </c>
      <c r="B23">
        <v>31105</v>
      </c>
      <c r="C23" s="8">
        <f>VLOOKUP(B23,'ER Contributions'!A:D,4,FALSE)</f>
        <v>31043</v>
      </c>
      <c r="D23" s="9">
        <f>VLOOKUP(B23,'ER Contributions'!A:D,3,FALSE)</f>
        <v>1.3445E-3</v>
      </c>
      <c r="E23" s="8">
        <f>VLOOKUP(B23,'75 - Summary Exhibit'!A:N,3,FALSE)</f>
        <v>-44269</v>
      </c>
      <c r="F23" s="10">
        <f>VLOOKUP(B23,'75 - Summary Exhibit'!A:N,4,FALSE)</f>
        <v>17847</v>
      </c>
      <c r="G23" s="10">
        <f>VLOOKUP(B23,'75 - Summary Exhibit'!A:N,5,FALSE)</f>
        <v>34754</v>
      </c>
      <c r="H23" s="10">
        <f>VLOOKUP(B23,'75 - Summary Exhibit'!A:N,6,FALSE)</f>
        <v>660</v>
      </c>
      <c r="I23" s="8">
        <f>VLOOKUP(B23,'75 - Summary Exhibit'!A:N,7,FALSE)</f>
        <v>7966</v>
      </c>
      <c r="J23" s="8">
        <f>VLOOKUP(B23,'75 - Summary Exhibit'!A:N,8,FALSE)</f>
        <v>50919</v>
      </c>
      <c r="K23" s="8">
        <f>VLOOKUP(B23,'75 - Summary Exhibit'!A:N,9,FALSE)</f>
        <v>0</v>
      </c>
      <c r="L23" s="8">
        <f>VLOOKUP(B23,'75 - Summary Exhibit'!A:N,10,FALSE)</f>
        <v>20625</v>
      </c>
      <c r="M23" s="8">
        <f>VLOOKUP(B23,'75 - Summary Exhibit'!A:N,11,FALSE)</f>
        <v>2723</v>
      </c>
      <c r="N23" s="8">
        <f>VLOOKUP(B23,'75 - Summary Exhibit'!A:N,12,FALSE)</f>
        <v>23616</v>
      </c>
      <c r="O23" s="8">
        <f>VLOOKUP(B23,'75 - Summary Exhibit'!A:N,13,FALSE)</f>
        <v>1866</v>
      </c>
      <c r="P23" s="8">
        <f t="shared" si="0"/>
        <v>25482</v>
      </c>
      <c r="Q23" s="8">
        <f>VLOOKUP(B23,'75- Deferred Amortization'!A:H,3,FALSE)</f>
        <v>-15423</v>
      </c>
      <c r="R23" s="8">
        <f>VLOOKUP(B23,'75- Deferred Amortization'!A:H,4,FALSE)</f>
        <v>-10328</v>
      </c>
      <c r="S23" s="8">
        <f>VLOOKUP(B23,'75- Deferred Amortization'!A:H,5,FALSE)</f>
        <v>7733</v>
      </c>
      <c r="T23" s="8">
        <f>VLOOKUP(B23,'75- Deferred Amortization'!A:H,6,FALSE)</f>
        <v>3587</v>
      </c>
      <c r="U23" s="8">
        <f>VLOOKUP(B23,'75- Deferred Amortization'!A:H,7,FALSE)</f>
        <v>1390</v>
      </c>
      <c r="V23" s="8">
        <f>VLOOKUP(B23,'75- Deferred Amortization'!A:H,8,FALSE)</f>
        <v>0</v>
      </c>
      <c r="X23">
        <v>2</v>
      </c>
      <c r="Y23" s="8">
        <f t="shared" si="1"/>
        <v>0</v>
      </c>
      <c r="Z23" s="8">
        <f t="shared" si="2"/>
        <v>1</v>
      </c>
      <c r="AB23" s="8">
        <f>'NOPEB asset change'!F22</f>
        <v>-34639</v>
      </c>
      <c r="AC23" s="8">
        <v>34639</v>
      </c>
      <c r="AD23" s="10">
        <v>30356</v>
      </c>
      <c r="AE23" s="10">
        <v>45243</v>
      </c>
      <c r="AF23" s="10">
        <v>2524</v>
      </c>
      <c r="AG23" s="8">
        <v>10436</v>
      </c>
      <c r="AH23" s="8">
        <v>19186</v>
      </c>
      <c r="AI23" s="8">
        <v>0</v>
      </c>
      <c r="AJ23" s="8">
        <v>5913</v>
      </c>
      <c r="AK23" s="8">
        <v>3153</v>
      </c>
      <c r="AM23" s="8">
        <f t="shared" si="11"/>
        <v>-2470</v>
      </c>
      <c r="AN23" s="8">
        <f t="shared" si="3"/>
        <v>-430</v>
      </c>
      <c r="AO23" s="10">
        <f t="shared" si="4"/>
        <v>-12509</v>
      </c>
      <c r="AP23" s="8">
        <f t="shared" si="5"/>
        <v>31733</v>
      </c>
      <c r="AQ23" s="10">
        <f t="shared" si="6"/>
        <v>-1864</v>
      </c>
      <c r="AR23" s="8">
        <f t="shared" si="7"/>
        <v>14712</v>
      </c>
      <c r="AS23" s="8">
        <f t="shared" si="8"/>
        <v>-78908</v>
      </c>
      <c r="AT23" s="10">
        <f t="shared" si="9"/>
        <v>-10489</v>
      </c>
      <c r="AU23" s="8">
        <f t="shared" si="10"/>
        <v>0</v>
      </c>
      <c r="AV23" s="8">
        <f t="shared" si="12"/>
        <v>-44269</v>
      </c>
    </row>
    <row r="24" spans="1:48" x14ac:dyDescent="0.25">
      <c r="A24" t="s">
        <v>56</v>
      </c>
      <c r="B24">
        <v>30705</v>
      </c>
      <c r="C24" s="8">
        <f>VLOOKUP(B24,'ER Contributions'!A:D,4,FALSE)</f>
        <v>11060</v>
      </c>
      <c r="D24" s="9">
        <f>VLOOKUP(B24,'ER Contributions'!A:D,3,FALSE)</f>
        <v>4.6279999999999997E-4</v>
      </c>
      <c r="E24" s="8">
        <f>VLOOKUP(B24,'75 - Summary Exhibit'!A:N,3,FALSE)</f>
        <v>-15238</v>
      </c>
      <c r="F24" s="10">
        <f>VLOOKUP(B24,'75 - Summary Exhibit'!A:N,4,FALSE)</f>
        <v>6143</v>
      </c>
      <c r="G24" s="10">
        <f>VLOOKUP(B24,'75 - Summary Exhibit'!A:N,5,FALSE)</f>
        <v>11963</v>
      </c>
      <c r="H24" s="10">
        <f>VLOOKUP(B24,'75 - Summary Exhibit'!A:N,6,FALSE)</f>
        <v>227</v>
      </c>
      <c r="I24" s="8">
        <f>VLOOKUP(B24,'75 - Summary Exhibit'!A:N,7,FALSE)</f>
        <v>961</v>
      </c>
      <c r="J24" s="8">
        <f>VLOOKUP(B24,'75 - Summary Exhibit'!A:N,8,FALSE)</f>
        <v>17527</v>
      </c>
      <c r="K24" s="8">
        <f>VLOOKUP(B24,'75 - Summary Exhibit'!A:N,9,FALSE)</f>
        <v>0</v>
      </c>
      <c r="L24" s="8">
        <f>VLOOKUP(B24,'75 - Summary Exhibit'!A:N,10,FALSE)</f>
        <v>7099</v>
      </c>
      <c r="M24" s="8">
        <f>VLOOKUP(B24,'75 - Summary Exhibit'!A:N,11,FALSE)</f>
        <v>1478</v>
      </c>
      <c r="N24" s="8">
        <f>VLOOKUP(B24,'75 - Summary Exhibit'!A:N,12,FALSE)</f>
        <v>8129</v>
      </c>
      <c r="O24" s="8">
        <f>VLOOKUP(B24,'75 - Summary Exhibit'!A:N,13,FALSE)</f>
        <v>-93</v>
      </c>
      <c r="P24" s="8">
        <f t="shared" si="0"/>
        <v>8036</v>
      </c>
      <c r="Q24" s="8">
        <f>VLOOKUP(B24,'75- Deferred Amortization'!A:H,3,FALSE)</f>
        <v>-6262</v>
      </c>
      <c r="R24" s="8">
        <f>VLOOKUP(B24,'75- Deferred Amortization'!A:H,4,FALSE)</f>
        <v>-4084</v>
      </c>
      <c r="S24" s="8">
        <f>VLOOKUP(B24,'75- Deferred Amortization'!A:H,5,FALSE)</f>
        <v>1993</v>
      </c>
      <c r="T24" s="8">
        <f>VLOOKUP(B24,'75- Deferred Amortization'!A:H,6,FALSE)</f>
        <v>1044</v>
      </c>
      <c r="U24" s="8">
        <f>VLOOKUP(B24,'75- Deferred Amortization'!A:H,7,FALSE)</f>
        <v>500</v>
      </c>
      <c r="V24" s="8">
        <f>VLOOKUP(B24,'75- Deferred Amortization'!A:H,8,FALSE)</f>
        <v>0</v>
      </c>
      <c r="X24">
        <v>2</v>
      </c>
      <c r="Y24" s="8">
        <f t="shared" si="1"/>
        <v>0</v>
      </c>
      <c r="Z24" s="8">
        <f t="shared" si="2"/>
        <v>-1</v>
      </c>
      <c r="AB24" s="8">
        <f>'NOPEB asset change'!F23</f>
        <v>-12037</v>
      </c>
      <c r="AC24" s="8">
        <v>12037</v>
      </c>
      <c r="AD24" s="10">
        <v>10549</v>
      </c>
      <c r="AE24" s="10">
        <v>15722</v>
      </c>
      <c r="AF24" s="10">
        <v>877</v>
      </c>
      <c r="AG24" s="8">
        <v>1099</v>
      </c>
      <c r="AH24" s="8">
        <v>6667</v>
      </c>
      <c r="AI24" s="8">
        <v>0</v>
      </c>
      <c r="AJ24" s="8">
        <v>2055</v>
      </c>
      <c r="AK24" s="8">
        <v>2084</v>
      </c>
      <c r="AM24" s="8">
        <f t="shared" si="11"/>
        <v>-138</v>
      </c>
      <c r="AN24" s="8">
        <f t="shared" si="3"/>
        <v>-606</v>
      </c>
      <c r="AO24" s="10">
        <f t="shared" si="4"/>
        <v>-4406</v>
      </c>
      <c r="AP24" s="8">
        <f t="shared" si="5"/>
        <v>10860</v>
      </c>
      <c r="AQ24" s="10">
        <f t="shared" si="6"/>
        <v>-650</v>
      </c>
      <c r="AR24" s="8">
        <f t="shared" si="7"/>
        <v>5044</v>
      </c>
      <c r="AS24" s="8">
        <f t="shared" si="8"/>
        <v>-27275</v>
      </c>
      <c r="AT24" s="10">
        <f t="shared" si="9"/>
        <v>-3759</v>
      </c>
      <c r="AU24" s="8">
        <f t="shared" si="10"/>
        <v>0</v>
      </c>
      <c r="AV24" s="8">
        <f t="shared" si="12"/>
        <v>-15238</v>
      </c>
    </row>
    <row r="25" spans="1:48" x14ac:dyDescent="0.25">
      <c r="A25" t="s">
        <v>57</v>
      </c>
      <c r="B25">
        <v>30905</v>
      </c>
      <c r="C25" s="8">
        <f>VLOOKUP(B25,'ER Contributions'!A:D,4,FALSE)</f>
        <v>7366</v>
      </c>
      <c r="D25" s="9">
        <f>VLOOKUP(B25,'ER Contributions'!A:D,3,FALSE)</f>
        <v>2.6929999999999999E-4</v>
      </c>
      <c r="E25" s="8">
        <f>VLOOKUP(B25,'75 - Summary Exhibit'!A:N,3,FALSE)</f>
        <v>-8867</v>
      </c>
      <c r="F25" s="10">
        <f>VLOOKUP(B25,'75 - Summary Exhibit'!A:N,4,FALSE)</f>
        <v>3575</v>
      </c>
      <c r="G25" s="10">
        <f>VLOOKUP(B25,'75 - Summary Exhibit'!A:N,5,FALSE)</f>
        <v>6961</v>
      </c>
      <c r="H25" s="10">
        <f>VLOOKUP(B25,'75 - Summary Exhibit'!A:N,6,FALSE)</f>
        <v>132</v>
      </c>
      <c r="I25" s="8">
        <f>VLOOKUP(B25,'75 - Summary Exhibit'!A:N,7,FALSE)</f>
        <v>4583</v>
      </c>
      <c r="J25" s="8">
        <f>VLOOKUP(B25,'75 - Summary Exhibit'!A:N,8,FALSE)</f>
        <v>10199</v>
      </c>
      <c r="K25" s="8">
        <f>VLOOKUP(B25,'75 - Summary Exhibit'!A:N,9,FALSE)</f>
        <v>0</v>
      </c>
      <c r="L25" s="8">
        <f>VLOOKUP(B25,'75 - Summary Exhibit'!A:N,10,FALSE)</f>
        <v>4131</v>
      </c>
      <c r="M25" s="8">
        <f>VLOOKUP(B25,'75 - Summary Exhibit'!A:N,11,FALSE)</f>
        <v>0</v>
      </c>
      <c r="N25" s="8">
        <f>VLOOKUP(B25,'75 - Summary Exhibit'!A:N,12,FALSE)</f>
        <v>4730</v>
      </c>
      <c r="O25" s="8">
        <f>VLOOKUP(B25,'75 - Summary Exhibit'!A:N,13,FALSE)</f>
        <v>1898</v>
      </c>
      <c r="P25" s="8">
        <f t="shared" si="0"/>
        <v>6628</v>
      </c>
      <c r="Q25" s="8">
        <f>VLOOKUP(B25,'75- Deferred Amortization'!A:H,3,FALSE)</f>
        <v>-1968</v>
      </c>
      <c r="R25" s="8">
        <f>VLOOKUP(B25,'75- Deferred Amortization'!A:H,4,FALSE)</f>
        <v>-1030</v>
      </c>
      <c r="S25" s="8">
        <f>VLOOKUP(B25,'75- Deferred Amortization'!A:H,5,FALSE)</f>
        <v>2203</v>
      </c>
      <c r="T25" s="8">
        <f>VLOOKUP(B25,'75- Deferred Amortization'!A:H,6,FALSE)</f>
        <v>1094</v>
      </c>
      <c r="U25" s="8">
        <f>VLOOKUP(B25,'75- Deferred Amortization'!A:H,7,FALSE)</f>
        <v>623</v>
      </c>
      <c r="V25" s="8">
        <f>VLOOKUP(B25,'75- Deferred Amortization'!A:H,8,FALSE)</f>
        <v>0</v>
      </c>
      <c r="X25">
        <v>2</v>
      </c>
      <c r="Y25" s="8">
        <f t="shared" si="1"/>
        <v>-1</v>
      </c>
      <c r="Z25" s="8">
        <f t="shared" si="2"/>
        <v>-1</v>
      </c>
      <c r="AB25" s="8">
        <f>'NOPEB asset change'!F24</f>
        <v>-6968</v>
      </c>
      <c r="AC25" s="8">
        <v>6968</v>
      </c>
      <c r="AD25" s="10">
        <v>6107</v>
      </c>
      <c r="AE25" s="10">
        <v>9101</v>
      </c>
      <c r="AF25" s="10">
        <v>508</v>
      </c>
      <c r="AG25" s="8">
        <v>5352</v>
      </c>
      <c r="AH25" s="8">
        <v>3860</v>
      </c>
      <c r="AI25" s="8">
        <v>0</v>
      </c>
      <c r="AJ25" s="8">
        <v>1189</v>
      </c>
      <c r="AK25" s="8">
        <v>0</v>
      </c>
      <c r="AM25" s="8">
        <f t="shared" si="11"/>
        <v>-769</v>
      </c>
      <c r="AN25" s="8">
        <f t="shared" si="3"/>
        <v>0</v>
      </c>
      <c r="AO25" s="10">
        <f t="shared" si="4"/>
        <v>-2532</v>
      </c>
      <c r="AP25" s="8">
        <f t="shared" si="5"/>
        <v>6339</v>
      </c>
      <c r="AQ25" s="10">
        <f t="shared" si="6"/>
        <v>-376</v>
      </c>
      <c r="AR25" s="8">
        <f t="shared" si="7"/>
        <v>2942</v>
      </c>
      <c r="AS25" s="8">
        <f t="shared" si="8"/>
        <v>-15835</v>
      </c>
      <c r="AT25" s="10">
        <f t="shared" si="9"/>
        <v>-2140</v>
      </c>
      <c r="AU25" s="8">
        <f t="shared" si="10"/>
        <v>0</v>
      </c>
      <c r="AV25" s="8">
        <f t="shared" si="12"/>
        <v>-8867</v>
      </c>
    </row>
    <row r="26" spans="1:48" x14ac:dyDescent="0.25">
      <c r="A26" t="s">
        <v>78</v>
      </c>
      <c r="B26">
        <v>34505</v>
      </c>
      <c r="C26" s="8">
        <f>VLOOKUP(B26,'ER Contributions'!A:D,4,FALSE)</f>
        <v>15646</v>
      </c>
      <c r="D26" s="9">
        <f>VLOOKUP(B26,'ER Contributions'!A:D,3,FALSE)</f>
        <v>6.8400000000000004E-4</v>
      </c>
      <c r="E26" s="8">
        <f>VLOOKUP(B26,'75 - Summary Exhibit'!A:N,3,FALSE)</f>
        <v>-22521</v>
      </c>
      <c r="F26" s="10">
        <f>VLOOKUP(B26,'75 - Summary Exhibit'!A:N,4,FALSE)</f>
        <v>9079</v>
      </c>
      <c r="G26" s="10">
        <f>VLOOKUP(B26,'75 - Summary Exhibit'!A:N,5,FALSE)</f>
        <v>17681</v>
      </c>
      <c r="H26" s="10">
        <f>VLOOKUP(B26,'75 - Summary Exhibit'!A:N,6,FALSE)</f>
        <v>336</v>
      </c>
      <c r="I26" s="8">
        <f>VLOOKUP(B26,'75 - Summary Exhibit'!A:N,7,FALSE)</f>
        <v>1849</v>
      </c>
      <c r="J26" s="8">
        <f>VLOOKUP(B26,'75 - Summary Exhibit'!A:N,8,FALSE)</f>
        <v>25904</v>
      </c>
      <c r="K26" s="8">
        <f>VLOOKUP(B26,'75 - Summary Exhibit'!A:N,9,FALSE)</f>
        <v>0</v>
      </c>
      <c r="L26" s="8">
        <f>VLOOKUP(B26,'75 - Summary Exhibit'!A:N,10,FALSE)</f>
        <v>10493</v>
      </c>
      <c r="M26" s="8">
        <f>VLOOKUP(B26,'75 - Summary Exhibit'!A:N,11,FALSE)</f>
        <v>4178</v>
      </c>
      <c r="N26" s="8">
        <f>VLOOKUP(B26,'75 - Summary Exhibit'!A:N,12,FALSE)</f>
        <v>12014</v>
      </c>
      <c r="O26" s="8">
        <f>VLOOKUP(B26,'75 - Summary Exhibit'!A:N,13,FALSE)</f>
        <v>-915</v>
      </c>
      <c r="P26" s="8">
        <f t="shared" si="0"/>
        <v>11099</v>
      </c>
      <c r="Q26" s="8">
        <f>VLOOKUP(B26,'75- Deferred Amortization'!A:H,3,FALSE)</f>
        <v>-9979</v>
      </c>
      <c r="R26" s="8">
        <f>VLOOKUP(B26,'75- Deferred Amortization'!A:H,4,FALSE)</f>
        <v>-6651</v>
      </c>
      <c r="S26" s="8">
        <f>VLOOKUP(B26,'75- Deferred Amortization'!A:H,5,FALSE)</f>
        <v>2503</v>
      </c>
      <c r="T26" s="8">
        <f>VLOOKUP(B26,'75- Deferred Amortization'!A:H,6,FALSE)</f>
        <v>1301</v>
      </c>
      <c r="U26" s="8">
        <f>VLOOKUP(B26,'75- Deferred Amortization'!A:H,7,FALSE)</f>
        <v>1195</v>
      </c>
      <c r="V26" s="8">
        <f>VLOOKUP(B26,'75- Deferred Amortization'!A:H,8,FALSE)</f>
        <v>0</v>
      </c>
      <c r="X26">
        <v>2</v>
      </c>
      <c r="Y26" s="8">
        <f t="shared" si="1"/>
        <v>-1</v>
      </c>
      <c r="Z26" s="8">
        <f t="shared" si="2"/>
        <v>1</v>
      </c>
      <c r="AB26" s="8">
        <f>'NOPEB asset change'!F25</f>
        <v>-18104</v>
      </c>
      <c r="AC26" s="8">
        <v>18104</v>
      </c>
      <c r="AD26" s="10">
        <v>15866</v>
      </c>
      <c r="AE26" s="10">
        <v>23646</v>
      </c>
      <c r="AF26" s="10">
        <v>1319</v>
      </c>
      <c r="AG26" s="8">
        <v>2552</v>
      </c>
      <c r="AH26" s="8">
        <v>10027</v>
      </c>
      <c r="AI26" s="8">
        <v>0</v>
      </c>
      <c r="AJ26" s="8">
        <v>3090</v>
      </c>
      <c r="AK26" s="8">
        <v>5817</v>
      </c>
      <c r="AM26" s="8">
        <f t="shared" si="11"/>
        <v>-703</v>
      </c>
      <c r="AN26" s="8">
        <f t="shared" si="3"/>
        <v>-1639</v>
      </c>
      <c r="AO26" s="10">
        <f t="shared" si="4"/>
        <v>-6787</v>
      </c>
      <c r="AP26" s="8">
        <f t="shared" si="5"/>
        <v>15877</v>
      </c>
      <c r="AQ26" s="10">
        <f t="shared" si="6"/>
        <v>-983</v>
      </c>
      <c r="AR26" s="8">
        <f t="shared" si="7"/>
        <v>7403</v>
      </c>
      <c r="AS26" s="8">
        <f t="shared" si="8"/>
        <v>-40625</v>
      </c>
      <c r="AT26" s="10">
        <f t="shared" si="9"/>
        <v>-5965</v>
      </c>
      <c r="AU26" s="8">
        <f t="shared" si="10"/>
        <v>0</v>
      </c>
      <c r="AV26" s="8">
        <f t="shared" si="12"/>
        <v>-22521</v>
      </c>
    </row>
    <row r="27" spans="1:48" x14ac:dyDescent="0.25">
      <c r="A27" t="s">
        <v>58</v>
      </c>
      <c r="B27">
        <v>31005</v>
      </c>
      <c r="C27" s="8">
        <f>VLOOKUP(B27,'ER Contributions'!A:D,4,FALSE)</f>
        <v>10810</v>
      </c>
      <c r="D27" s="9">
        <f>VLOOKUP(B27,'ER Contributions'!A:D,3,FALSE)</f>
        <v>4.26E-4</v>
      </c>
      <c r="E27" s="8">
        <f>VLOOKUP(B27,'75 - Summary Exhibit'!A:N,3,FALSE)</f>
        <v>-14026</v>
      </c>
      <c r="F27" s="10">
        <f>VLOOKUP(B27,'75 - Summary Exhibit'!A:N,4,FALSE)</f>
        <v>5655</v>
      </c>
      <c r="G27" s="10">
        <f>VLOOKUP(B27,'75 - Summary Exhibit'!A:N,5,FALSE)</f>
        <v>11012</v>
      </c>
      <c r="H27" s="10">
        <f>VLOOKUP(B27,'75 - Summary Exhibit'!A:N,6,FALSE)</f>
        <v>209</v>
      </c>
      <c r="I27" s="8">
        <f>VLOOKUP(B27,'75 - Summary Exhibit'!A:N,7,FALSE)</f>
        <v>2114</v>
      </c>
      <c r="J27" s="8">
        <f>VLOOKUP(B27,'75 - Summary Exhibit'!A:N,8,FALSE)</f>
        <v>16133</v>
      </c>
      <c r="K27" s="8">
        <f>VLOOKUP(B27,'75 - Summary Exhibit'!A:N,9,FALSE)</f>
        <v>0</v>
      </c>
      <c r="L27" s="8">
        <f>VLOOKUP(B27,'75 - Summary Exhibit'!A:N,10,FALSE)</f>
        <v>6535</v>
      </c>
      <c r="M27" s="8">
        <f>VLOOKUP(B27,'75 - Summary Exhibit'!A:N,11,FALSE)</f>
        <v>609</v>
      </c>
      <c r="N27" s="8">
        <f>VLOOKUP(B27,'75 - Summary Exhibit'!A:N,12,FALSE)</f>
        <v>7483</v>
      </c>
      <c r="O27" s="8">
        <f>VLOOKUP(B27,'75 - Summary Exhibit'!A:N,13,FALSE)</f>
        <v>1171</v>
      </c>
      <c r="P27" s="8">
        <f t="shared" si="0"/>
        <v>8654</v>
      </c>
      <c r="Q27" s="8">
        <f>VLOOKUP(B27,'75- Deferred Amortization'!A:H,3,FALSE)</f>
        <v>-4814</v>
      </c>
      <c r="R27" s="8">
        <f>VLOOKUP(B27,'75- Deferred Amortization'!A:H,4,FALSE)</f>
        <v>-3111</v>
      </c>
      <c r="S27" s="8">
        <f>VLOOKUP(B27,'75- Deferred Amortization'!A:H,5,FALSE)</f>
        <v>2281</v>
      </c>
      <c r="T27" s="8">
        <f>VLOOKUP(B27,'75- Deferred Amortization'!A:H,6,FALSE)</f>
        <v>871</v>
      </c>
      <c r="U27" s="8">
        <f>VLOOKUP(B27,'75- Deferred Amortization'!A:H,7,FALSE)</f>
        <v>486</v>
      </c>
      <c r="V27" s="8">
        <f>VLOOKUP(B27,'75- Deferred Amortization'!A:H,8,FALSE)</f>
        <v>0</v>
      </c>
      <c r="X27">
        <v>2</v>
      </c>
      <c r="Y27" s="8">
        <f t="shared" si="1"/>
        <v>0</v>
      </c>
      <c r="Z27" s="8">
        <f t="shared" si="2"/>
        <v>0</v>
      </c>
      <c r="AB27" s="8">
        <f>'NOPEB asset change'!F26</f>
        <v>-11021</v>
      </c>
      <c r="AC27" s="8">
        <v>11021</v>
      </c>
      <c r="AD27" s="10">
        <v>9659</v>
      </c>
      <c r="AE27" s="10">
        <v>14395</v>
      </c>
      <c r="AF27" s="10">
        <v>803</v>
      </c>
      <c r="AG27" s="8">
        <v>2464</v>
      </c>
      <c r="AH27" s="8">
        <v>6105</v>
      </c>
      <c r="AI27" s="8">
        <v>0</v>
      </c>
      <c r="AJ27" s="8">
        <v>1881</v>
      </c>
      <c r="AK27" s="8">
        <v>731</v>
      </c>
      <c r="AM27" s="8">
        <f t="shared" si="11"/>
        <v>-350</v>
      </c>
      <c r="AN27" s="8">
        <f t="shared" si="3"/>
        <v>-122</v>
      </c>
      <c r="AO27" s="10">
        <f t="shared" si="4"/>
        <v>-4004</v>
      </c>
      <c r="AP27" s="8">
        <f t="shared" si="5"/>
        <v>10028</v>
      </c>
      <c r="AQ27" s="10">
        <f t="shared" si="6"/>
        <v>-594</v>
      </c>
      <c r="AR27" s="8">
        <f t="shared" si="7"/>
        <v>4654</v>
      </c>
      <c r="AS27" s="8">
        <f t="shared" si="8"/>
        <v>-25047</v>
      </c>
      <c r="AT27" s="10">
        <f t="shared" si="9"/>
        <v>-3383</v>
      </c>
      <c r="AU27" s="8">
        <f t="shared" si="10"/>
        <v>0</v>
      </c>
      <c r="AV27" s="8">
        <f t="shared" si="12"/>
        <v>-14026</v>
      </c>
    </row>
    <row r="28" spans="1:48" x14ac:dyDescent="0.25">
      <c r="A28" t="s">
        <v>61</v>
      </c>
      <c r="B28">
        <v>31405</v>
      </c>
      <c r="C28" s="8">
        <f>VLOOKUP(B28,'ER Contributions'!A:D,4,FALSE)</f>
        <v>21247</v>
      </c>
      <c r="D28" s="9">
        <f>VLOOKUP(B28,'ER Contributions'!A:D,3,FALSE)</f>
        <v>8.4119999999999996E-4</v>
      </c>
      <c r="E28" s="8">
        <f>VLOOKUP(B28,'75 - Summary Exhibit'!A:N,3,FALSE)</f>
        <v>-27697</v>
      </c>
      <c r="F28" s="10">
        <f>VLOOKUP(B28,'75 - Summary Exhibit'!A:N,4,FALSE)</f>
        <v>11166</v>
      </c>
      <c r="G28" s="10">
        <f>VLOOKUP(B28,'75 - Summary Exhibit'!A:N,5,FALSE)</f>
        <v>21744</v>
      </c>
      <c r="H28" s="10">
        <f>VLOOKUP(B28,'75 - Summary Exhibit'!A:N,6,FALSE)</f>
        <v>413</v>
      </c>
      <c r="I28" s="8">
        <f>VLOOKUP(B28,'75 - Summary Exhibit'!A:N,7,FALSE)</f>
        <v>6393</v>
      </c>
      <c r="J28" s="8">
        <f>VLOOKUP(B28,'75 - Summary Exhibit'!A:N,8,FALSE)</f>
        <v>31858</v>
      </c>
      <c r="K28" s="8">
        <f>VLOOKUP(B28,'75 - Summary Exhibit'!A:N,9,FALSE)</f>
        <v>0</v>
      </c>
      <c r="L28" s="8">
        <f>VLOOKUP(B28,'75 - Summary Exhibit'!A:N,10,FALSE)</f>
        <v>12904</v>
      </c>
      <c r="M28" s="8">
        <f>VLOOKUP(B28,'75 - Summary Exhibit'!A:N,11,FALSE)</f>
        <v>253</v>
      </c>
      <c r="N28" s="8">
        <f>VLOOKUP(B28,'75 - Summary Exhibit'!A:N,12,FALSE)</f>
        <v>14776</v>
      </c>
      <c r="O28" s="8">
        <f>VLOOKUP(B28,'75 - Summary Exhibit'!A:N,13,FALSE)</f>
        <v>2396</v>
      </c>
      <c r="P28" s="8">
        <f t="shared" si="0"/>
        <v>17172</v>
      </c>
      <c r="Q28" s="8">
        <f>VLOOKUP(B28,'75- Deferred Amortization'!A:H,3,FALSE)</f>
        <v>-8598</v>
      </c>
      <c r="R28" s="8">
        <f>VLOOKUP(B28,'75- Deferred Amortization'!A:H,4,FALSE)</f>
        <v>-5447</v>
      </c>
      <c r="S28" s="8">
        <f>VLOOKUP(B28,'75- Deferred Amortization'!A:H,5,FALSE)</f>
        <v>5211</v>
      </c>
      <c r="T28" s="8">
        <f>VLOOKUP(B28,'75- Deferred Amortization'!A:H,6,FALSE)</f>
        <v>2390</v>
      </c>
      <c r="U28" s="8">
        <f>VLOOKUP(B28,'75- Deferred Amortization'!A:H,7,FALSE)</f>
        <v>1145</v>
      </c>
      <c r="V28" s="8">
        <f>VLOOKUP(B28,'75- Deferred Amortization'!A:H,8,FALSE)</f>
        <v>0</v>
      </c>
      <c r="X28">
        <v>2</v>
      </c>
      <c r="Y28" s="8">
        <f t="shared" si="1"/>
        <v>0</v>
      </c>
      <c r="Z28" s="8">
        <f t="shared" si="2"/>
        <v>0</v>
      </c>
      <c r="AB28" s="8">
        <f>'NOPEB asset change'!F27</f>
        <v>-21886</v>
      </c>
      <c r="AC28" s="8">
        <v>21886</v>
      </c>
      <c r="AD28" s="10">
        <v>19180</v>
      </c>
      <c r="AE28" s="10">
        <v>28586</v>
      </c>
      <c r="AF28" s="10">
        <v>1595</v>
      </c>
      <c r="AG28" s="8">
        <v>7010</v>
      </c>
      <c r="AH28" s="8">
        <v>12122</v>
      </c>
      <c r="AI28" s="8">
        <v>0</v>
      </c>
      <c r="AJ28" s="8">
        <v>3736</v>
      </c>
      <c r="AK28" s="8">
        <v>304</v>
      </c>
      <c r="AM28" s="8">
        <f t="shared" si="11"/>
        <v>-617</v>
      </c>
      <c r="AN28" s="8">
        <f t="shared" si="3"/>
        <v>-51</v>
      </c>
      <c r="AO28" s="10">
        <f t="shared" si="4"/>
        <v>-8014</v>
      </c>
      <c r="AP28" s="8">
        <f t="shared" si="5"/>
        <v>19736</v>
      </c>
      <c r="AQ28" s="10">
        <f t="shared" si="6"/>
        <v>-1182</v>
      </c>
      <c r="AR28" s="8">
        <f t="shared" si="7"/>
        <v>9168</v>
      </c>
      <c r="AS28" s="8">
        <f t="shared" si="8"/>
        <v>-49583</v>
      </c>
      <c r="AT28" s="10">
        <f t="shared" si="9"/>
        <v>-6842</v>
      </c>
      <c r="AU28" s="8">
        <f t="shared" si="10"/>
        <v>0</v>
      </c>
      <c r="AV28" s="8">
        <f t="shared" si="12"/>
        <v>-27697</v>
      </c>
    </row>
    <row r="29" spans="1:48" ht="15.6" customHeight="1" x14ac:dyDescent="0.25">
      <c r="A29" t="s">
        <v>92</v>
      </c>
      <c r="B29">
        <v>36505</v>
      </c>
      <c r="C29" s="8">
        <f>VLOOKUP(B29,'ER Contributions'!A:D,4,FALSE)</f>
        <v>44141</v>
      </c>
      <c r="D29" s="9">
        <f>VLOOKUP(B29,'ER Contributions'!A:D,3,FALSE)</f>
        <v>1.8519000000000001E-3</v>
      </c>
      <c r="E29" s="8">
        <f>VLOOKUP(B29,'75 - Summary Exhibit'!A:N,3,FALSE)</f>
        <v>-60976</v>
      </c>
      <c r="F29" s="10">
        <f>VLOOKUP(B29,'75 - Summary Exhibit'!A:N,4,FALSE)</f>
        <v>24582</v>
      </c>
      <c r="G29" s="10">
        <f>VLOOKUP(B29,'75 - Summary Exhibit'!A:N,5,FALSE)</f>
        <v>47870</v>
      </c>
      <c r="H29" s="10">
        <f>VLOOKUP(B29,'75 - Summary Exhibit'!A:N,6,FALSE)</f>
        <v>909</v>
      </c>
      <c r="I29" s="8">
        <f>VLOOKUP(B29,'75 - Summary Exhibit'!A:N,7,FALSE)</f>
        <v>9342</v>
      </c>
      <c r="J29" s="8">
        <f>VLOOKUP(B29,'75 - Summary Exhibit'!A:N,8,FALSE)</f>
        <v>70135</v>
      </c>
      <c r="K29" s="8">
        <f>VLOOKUP(B29,'75 - Summary Exhibit'!A:N,9,FALSE)</f>
        <v>0</v>
      </c>
      <c r="L29" s="8">
        <f>VLOOKUP(B29,'75 - Summary Exhibit'!A:N,10,FALSE)</f>
        <v>28408</v>
      </c>
      <c r="M29" s="8">
        <f>VLOOKUP(B29,'75 - Summary Exhibit'!A:N,11,FALSE)</f>
        <v>1624</v>
      </c>
      <c r="N29" s="8">
        <f>VLOOKUP(B29,'75 - Summary Exhibit'!A:N,12,FALSE)</f>
        <v>32529</v>
      </c>
      <c r="O29" s="8">
        <f>VLOOKUP(B29,'75 - Summary Exhibit'!A:N,13,FALSE)</f>
        <v>3141</v>
      </c>
      <c r="P29" s="8">
        <f t="shared" si="0"/>
        <v>35670</v>
      </c>
      <c r="Q29" s="8">
        <f>VLOOKUP(B29,'75- Deferred Amortization'!A:H,3,FALSE)</f>
        <v>-21973</v>
      </c>
      <c r="R29" s="8">
        <f>VLOOKUP(B29,'75- Deferred Amortization'!A:H,4,FALSE)</f>
        <v>-13945</v>
      </c>
      <c r="S29" s="8">
        <f>VLOOKUP(B29,'75- Deferred Amortization'!A:H,5,FALSE)</f>
        <v>10103</v>
      </c>
      <c r="T29" s="8">
        <f>VLOOKUP(B29,'75- Deferred Amortization'!A:H,6,FALSE)</f>
        <v>5255</v>
      </c>
      <c r="U29" s="8">
        <f>VLOOKUP(B29,'75- Deferred Amortization'!A:H,7,FALSE)</f>
        <v>3094</v>
      </c>
      <c r="V29" s="8">
        <f>VLOOKUP(B29,'75- Deferred Amortization'!A:H,8,FALSE)</f>
        <v>0</v>
      </c>
      <c r="X29">
        <v>2</v>
      </c>
      <c r="Y29" s="8">
        <f t="shared" si="1"/>
        <v>1</v>
      </c>
      <c r="Z29" s="8">
        <f t="shared" si="2"/>
        <v>2</v>
      </c>
      <c r="AB29" s="8">
        <f>'NOPEB asset change'!F28</f>
        <v>-49788</v>
      </c>
      <c r="AC29" s="8">
        <v>49788</v>
      </c>
      <c r="AD29" s="10">
        <v>43633</v>
      </c>
      <c r="AE29" s="10">
        <v>65030</v>
      </c>
      <c r="AF29" s="10">
        <v>3628</v>
      </c>
      <c r="AG29" s="8">
        <v>11195</v>
      </c>
      <c r="AH29" s="8">
        <v>27576</v>
      </c>
      <c r="AI29" s="8">
        <v>0</v>
      </c>
      <c r="AJ29" s="8">
        <v>8499</v>
      </c>
      <c r="AK29" s="8">
        <v>2583</v>
      </c>
      <c r="AM29" s="8">
        <f t="shared" si="11"/>
        <v>-1853</v>
      </c>
      <c r="AN29" s="8">
        <f t="shared" si="3"/>
        <v>-959</v>
      </c>
      <c r="AO29" s="10">
        <f t="shared" si="4"/>
        <v>-19051</v>
      </c>
      <c r="AP29" s="8">
        <f t="shared" si="5"/>
        <v>42559</v>
      </c>
      <c r="AQ29" s="10">
        <f t="shared" si="6"/>
        <v>-2719</v>
      </c>
      <c r="AR29" s="8">
        <f t="shared" si="7"/>
        <v>19909</v>
      </c>
      <c r="AS29" s="8">
        <f t="shared" si="8"/>
        <v>-110764</v>
      </c>
      <c r="AT29" s="10">
        <f t="shared" si="9"/>
        <v>-17160</v>
      </c>
      <c r="AU29" s="8">
        <f t="shared" si="10"/>
        <v>0</v>
      </c>
      <c r="AV29" s="8">
        <f t="shared" si="12"/>
        <v>-60976</v>
      </c>
    </row>
    <row r="30" spans="1:48" x14ac:dyDescent="0.25">
      <c r="A30" t="s">
        <v>62</v>
      </c>
      <c r="B30">
        <v>31605</v>
      </c>
      <c r="C30" s="8">
        <f>VLOOKUP(B30,'ER Contributions'!A:D,4,FALSE)</f>
        <v>11365</v>
      </c>
      <c r="D30" s="9">
        <f>VLOOKUP(B30,'ER Contributions'!A:D,3,FALSE)</f>
        <v>4.483E-4</v>
      </c>
      <c r="E30" s="8">
        <f>VLOOKUP(B30,'75 - Summary Exhibit'!A:N,3,FALSE)</f>
        <v>-14761</v>
      </c>
      <c r="F30" s="10">
        <f>VLOOKUP(B30,'75 - Summary Exhibit'!A:N,4,FALSE)</f>
        <v>5951</v>
      </c>
      <c r="G30" s="10">
        <f>VLOOKUP(B30,'75 - Summary Exhibit'!A:N,5,FALSE)</f>
        <v>11588</v>
      </c>
      <c r="H30" s="10">
        <f>VLOOKUP(B30,'75 - Summary Exhibit'!A:N,6,FALSE)</f>
        <v>220</v>
      </c>
      <c r="I30" s="8">
        <f>VLOOKUP(B30,'75 - Summary Exhibit'!A:N,7,FALSE)</f>
        <v>1936</v>
      </c>
      <c r="J30" s="8">
        <f>VLOOKUP(B30,'75 - Summary Exhibit'!A:N,8,FALSE)</f>
        <v>16978</v>
      </c>
      <c r="K30" s="8">
        <f>VLOOKUP(B30,'75 - Summary Exhibit'!A:N,9,FALSE)</f>
        <v>0</v>
      </c>
      <c r="L30" s="8">
        <f>VLOOKUP(B30,'75 - Summary Exhibit'!A:N,10,FALSE)</f>
        <v>6877</v>
      </c>
      <c r="M30" s="8">
        <f>VLOOKUP(B30,'75 - Summary Exhibit'!A:N,11,FALSE)</f>
        <v>179</v>
      </c>
      <c r="N30" s="8">
        <f>VLOOKUP(B30,'75 - Summary Exhibit'!A:N,12,FALSE)</f>
        <v>7874</v>
      </c>
      <c r="O30" s="8">
        <f>VLOOKUP(B30,'75 - Summary Exhibit'!A:N,13,FALSE)</f>
        <v>1236</v>
      </c>
      <c r="P30" s="8">
        <f t="shared" si="0"/>
        <v>9110</v>
      </c>
      <c r="Q30" s="8">
        <f>VLOOKUP(B30,'75- Deferred Amortization'!A:H,3,FALSE)</f>
        <v>-4965</v>
      </c>
      <c r="R30" s="8">
        <f>VLOOKUP(B30,'75- Deferred Amortization'!A:H,4,FALSE)</f>
        <v>-3372</v>
      </c>
      <c r="S30" s="8">
        <f>VLOOKUP(B30,'75- Deferred Amortization'!A:H,5,FALSE)</f>
        <v>2280</v>
      </c>
      <c r="T30" s="8">
        <f>VLOOKUP(B30,'75- Deferred Amortization'!A:H,6,FALSE)</f>
        <v>1015</v>
      </c>
      <c r="U30" s="8">
        <f>VLOOKUP(B30,'75- Deferred Amortization'!A:H,7,FALSE)</f>
        <v>702</v>
      </c>
      <c r="V30" s="8">
        <f>VLOOKUP(B30,'75- Deferred Amortization'!A:H,8,FALSE)</f>
        <v>0</v>
      </c>
      <c r="X30">
        <v>2</v>
      </c>
      <c r="Y30" s="8">
        <f t="shared" si="1"/>
        <v>-1</v>
      </c>
      <c r="Z30" s="8">
        <f t="shared" si="2"/>
        <v>1</v>
      </c>
      <c r="AB30" s="8">
        <f>'NOPEB asset change'!F29</f>
        <v>-11766</v>
      </c>
      <c r="AC30" s="8">
        <v>11766</v>
      </c>
      <c r="AD30" s="10">
        <v>10311</v>
      </c>
      <c r="AE30" s="10">
        <v>15368</v>
      </c>
      <c r="AF30" s="10">
        <v>857</v>
      </c>
      <c r="AG30" s="8">
        <v>2147</v>
      </c>
      <c r="AH30" s="8">
        <v>6517</v>
      </c>
      <c r="AI30" s="8">
        <v>0</v>
      </c>
      <c r="AJ30" s="8">
        <v>2008</v>
      </c>
      <c r="AK30" s="8">
        <v>224</v>
      </c>
      <c r="AM30" s="8">
        <f t="shared" si="11"/>
        <v>-211</v>
      </c>
      <c r="AN30" s="8">
        <f t="shared" si="3"/>
        <v>-45</v>
      </c>
      <c r="AO30" s="10">
        <f t="shared" si="4"/>
        <v>-4360</v>
      </c>
      <c r="AP30" s="8">
        <f t="shared" si="5"/>
        <v>10461</v>
      </c>
      <c r="AQ30" s="10">
        <f t="shared" si="6"/>
        <v>-637</v>
      </c>
      <c r="AR30" s="8">
        <f t="shared" si="7"/>
        <v>4869</v>
      </c>
      <c r="AS30" s="8">
        <f t="shared" si="8"/>
        <v>-26527</v>
      </c>
      <c r="AT30" s="10">
        <f t="shared" si="9"/>
        <v>-3780</v>
      </c>
      <c r="AU30" s="8">
        <f t="shared" si="10"/>
        <v>0</v>
      </c>
      <c r="AV30" s="8">
        <f t="shared" si="12"/>
        <v>-14761</v>
      </c>
    </row>
    <row r="31" spans="1:48" x14ac:dyDescent="0.25">
      <c r="A31" t="s">
        <v>63</v>
      </c>
      <c r="B31">
        <v>31805</v>
      </c>
      <c r="C31" s="8">
        <f>VLOOKUP(B31,'ER Contributions'!A:D,4,FALSE)</f>
        <v>23914</v>
      </c>
      <c r="D31" s="9">
        <f>VLOOKUP(B31,'ER Contributions'!A:D,3,FALSE)</f>
        <v>9.592E-4</v>
      </c>
      <c r="E31" s="8">
        <f>VLOOKUP(B31,'75 - Summary Exhibit'!A:N,3,FALSE)</f>
        <v>-31583</v>
      </c>
      <c r="F31" s="10">
        <f>VLOOKUP(B31,'75 - Summary Exhibit'!A:N,4,FALSE)</f>
        <v>12732</v>
      </c>
      <c r="G31" s="10">
        <f>VLOOKUP(B31,'75 - Summary Exhibit'!A:N,5,FALSE)</f>
        <v>24794</v>
      </c>
      <c r="H31" s="10">
        <f>VLOOKUP(B31,'75 - Summary Exhibit'!A:N,6,FALSE)</f>
        <v>471</v>
      </c>
      <c r="I31" s="8">
        <f>VLOOKUP(B31,'75 - Summary Exhibit'!A:N,7,FALSE)</f>
        <v>6158</v>
      </c>
      <c r="J31" s="8">
        <f>VLOOKUP(B31,'75 - Summary Exhibit'!A:N,8,FALSE)</f>
        <v>36327</v>
      </c>
      <c r="K31" s="8">
        <f>VLOOKUP(B31,'75 - Summary Exhibit'!A:N,9,FALSE)</f>
        <v>0</v>
      </c>
      <c r="L31" s="8">
        <f>VLOOKUP(B31,'75 - Summary Exhibit'!A:N,10,FALSE)</f>
        <v>14714</v>
      </c>
      <c r="M31" s="8">
        <f>VLOOKUP(B31,'75 - Summary Exhibit'!A:N,11,FALSE)</f>
        <v>1231</v>
      </c>
      <c r="N31" s="8">
        <f>VLOOKUP(B31,'75 - Summary Exhibit'!A:N,12,FALSE)</f>
        <v>16848</v>
      </c>
      <c r="O31" s="8">
        <f>VLOOKUP(B31,'75 - Summary Exhibit'!A:N,13,FALSE)</f>
        <v>2321</v>
      </c>
      <c r="P31" s="8">
        <f t="shared" si="0"/>
        <v>19169</v>
      </c>
      <c r="Q31" s="8">
        <f>VLOOKUP(B31,'75- Deferred Amortization'!A:H,3,FALSE)</f>
        <v>-10423</v>
      </c>
      <c r="R31" s="8">
        <f>VLOOKUP(B31,'75- Deferred Amortization'!A:H,4,FALSE)</f>
        <v>-6821</v>
      </c>
      <c r="S31" s="8">
        <f>VLOOKUP(B31,'75- Deferred Amortization'!A:H,5,FALSE)</f>
        <v>4685</v>
      </c>
      <c r="T31" s="8">
        <f>VLOOKUP(B31,'75- Deferred Amortization'!A:H,6,FALSE)</f>
        <v>2905</v>
      </c>
      <c r="U31" s="8">
        <f>VLOOKUP(B31,'75- Deferred Amortization'!A:H,7,FALSE)</f>
        <v>1537</v>
      </c>
      <c r="V31" s="8">
        <f>VLOOKUP(B31,'75- Deferred Amortization'!A:H,8,FALSE)</f>
        <v>0</v>
      </c>
      <c r="X31">
        <v>2</v>
      </c>
      <c r="Y31" s="8">
        <f t="shared" si="1"/>
        <v>-1</v>
      </c>
      <c r="Z31" s="8">
        <f t="shared" si="2"/>
        <v>0</v>
      </c>
      <c r="AB31" s="8">
        <f>'NOPEB asset change'!F30</f>
        <v>-29184</v>
      </c>
      <c r="AC31" s="8">
        <v>29184</v>
      </c>
      <c r="AD31" s="10">
        <v>25576</v>
      </c>
      <c r="AE31" s="10">
        <v>38118</v>
      </c>
      <c r="AF31" s="10">
        <v>2127</v>
      </c>
      <c r="AG31" s="8">
        <v>4872</v>
      </c>
      <c r="AH31" s="8">
        <v>16164</v>
      </c>
      <c r="AI31" s="8">
        <v>0</v>
      </c>
      <c r="AJ31" s="8">
        <v>4982</v>
      </c>
      <c r="AK31" s="8">
        <v>1641</v>
      </c>
      <c r="AM31" s="8">
        <f t="shared" si="11"/>
        <v>1286</v>
      </c>
      <c r="AN31" s="8">
        <f t="shared" si="3"/>
        <v>-410</v>
      </c>
      <c r="AO31" s="10">
        <f t="shared" si="4"/>
        <v>-12844</v>
      </c>
      <c r="AP31" s="8">
        <f t="shared" si="5"/>
        <v>20163</v>
      </c>
      <c r="AQ31" s="10">
        <f t="shared" si="6"/>
        <v>-1656</v>
      </c>
      <c r="AR31" s="8">
        <f t="shared" si="7"/>
        <v>9732</v>
      </c>
      <c r="AS31" s="8">
        <f t="shared" si="8"/>
        <v>-60767</v>
      </c>
      <c r="AT31" s="10">
        <f t="shared" si="9"/>
        <v>-13324</v>
      </c>
      <c r="AU31" s="8">
        <f t="shared" si="10"/>
        <v>0</v>
      </c>
      <c r="AV31" s="8">
        <f t="shared" si="12"/>
        <v>-31583</v>
      </c>
    </row>
    <row r="32" spans="1:48" x14ac:dyDescent="0.25">
      <c r="A32" t="s">
        <v>83</v>
      </c>
      <c r="B32">
        <v>35305</v>
      </c>
      <c r="C32" s="8">
        <f>VLOOKUP(B32,'ER Contributions'!A:D,4,FALSE)</f>
        <v>28745</v>
      </c>
      <c r="D32" s="9">
        <f>VLOOKUP(B32,'ER Contributions'!A:D,3,FALSE)</f>
        <v>1.2375999999999999E-3</v>
      </c>
      <c r="E32" s="8">
        <f>VLOOKUP(B32,'75 - Summary Exhibit'!A:N,3,FALSE)</f>
        <v>-40749</v>
      </c>
      <c r="F32" s="10">
        <f>VLOOKUP(B32,'75 - Summary Exhibit'!A:N,4,FALSE)</f>
        <v>16428</v>
      </c>
      <c r="G32" s="10">
        <f>VLOOKUP(B32,'75 - Summary Exhibit'!A:N,5,FALSE)</f>
        <v>31991</v>
      </c>
      <c r="H32" s="10">
        <f>VLOOKUP(B32,'75 - Summary Exhibit'!A:N,6,FALSE)</f>
        <v>608</v>
      </c>
      <c r="I32" s="8">
        <f>VLOOKUP(B32,'75 - Summary Exhibit'!A:N,7,FALSE)</f>
        <v>4350</v>
      </c>
      <c r="J32" s="8">
        <f>VLOOKUP(B32,'75 - Summary Exhibit'!A:N,8,FALSE)</f>
        <v>46870</v>
      </c>
      <c r="K32" s="8">
        <f>VLOOKUP(B32,'75 - Summary Exhibit'!A:N,9,FALSE)</f>
        <v>0</v>
      </c>
      <c r="L32" s="8">
        <f>VLOOKUP(B32,'75 - Summary Exhibit'!A:N,10,FALSE)</f>
        <v>18985</v>
      </c>
      <c r="M32" s="8">
        <f>VLOOKUP(B32,'75 - Summary Exhibit'!A:N,11,FALSE)</f>
        <v>4702</v>
      </c>
      <c r="N32" s="8">
        <f>VLOOKUP(B32,'75 - Summary Exhibit'!A:N,12,FALSE)</f>
        <v>21738</v>
      </c>
      <c r="O32" s="8">
        <f>VLOOKUP(B32,'75 - Summary Exhibit'!A:N,13,FALSE)</f>
        <v>59</v>
      </c>
      <c r="P32" s="8">
        <f t="shared" si="0"/>
        <v>21797</v>
      </c>
      <c r="Q32" s="8">
        <f>VLOOKUP(B32,'75- Deferred Amortization'!A:H,3,FALSE)</f>
        <v>-15340</v>
      </c>
      <c r="R32" s="8">
        <f>VLOOKUP(B32,'75- Deferred Amortization'!A:H,4,FALSE)</f>
        <v>-10388</v>
      </c>
      <c r="S32" s="8">
        <f>VLOOKUP(B32,'75- Deferred Amortization'!A:H,5,FALSE)</f>
        <v>5705</v>
      </c>
      <c r="T32" s="8">
        <f>VLOOKUP(B32,'75- Deferred Amortization'!A:H,6,FALSE)</f>
        <v>2023</v>
      </c>
      <c r="U32" s="8">
        <f>VLOOKUP(B32,'75- Deferred Amortization'!A:H,7,FALSE)</f>
        <v>818</v>
      </c>
      <c r="V32" s="8">
        <f>VLOOKUP(B32,'75- Deferred Amortization'!A:H,8,FALSE)</f>
        <v>0</v>
      </c>
      <c r="X32">
        <v>2</v>
      </c>
      <c r="Y32" s="8">
        <f t="shared" si="1"/>
        <v>1</v>
      </c>
      <c r="Z32" s="8">
        <f t="shared" si="2"/>
        <v>2</v>
      </c>
      <c r="AB32" s="8">
        <f>'NOPEB asset change'!F31</f>
        <v>-34591</v>
      </c>
      <c r="AC32" s="8">
        <v>34591</v>
      </c>
      <c r="AD32" s="10">
        <v>30314</v>
      </c>
      <c r="AE32" s="10">
        <v>45180</v>
      </c>
      <c r="AF32" s="10">
        <v>2521</v>
      </c>
      <c r="AG32" s="8">
        <v>4444</v>
      </c>
      <c r="AH32" s="8">
        <v>19159</v>
      </c>
      <c r="AI32" s="8">
        <v>0</v>
      </c>
      <c r="AJ32" s="8">
        <v>5905</v>
      </c>
      <c r="AK32" s="8">
        <v>6184</v>
      </c>
      <c r="AM32" s="8">
        <f t="shared" si="11"/>
        <v>-94</v>
      </c>
      <c r="AN32" s="8">
        <f t="shared" si="3"/>
        <v>-1482</v>
      </c>
      <c r="AO32" s="10">
        <f t="shared" si="4"/>
        <v>-13886</v>
      </c>
      <c r="AP32" s="8">
        <f t="shared" si="5"/>
        <v>27711</v>
      </c>
      <c r="AQ32" s="10">
        <f t="shared" si="6"/>
        <v>-1913</v>
      </c>
      <c r="AR32" s="8">
        <f t="shared" si="7"/>
        <v>13080</v>
      </c>
      <c r="AS32" s="8">
        <f t="shared" si="8"/>
        <v>-75340</v>
      </c>
      <c r="AT32" s="10">
        <f t="shared" si="9"/>
        <v>-13189</v>
      </c>
      <c r="AU32" s="8">
        <f t="shared" si="10"/>
        <v>0</v>
      </c>
      <c r="AV32" s="8">
        <f t="shared" si="12"/>
        <v>-40749</v>
      </c>
    </row>
    <row r="33" spans="1:48" x14ac:dyDescent="0.25">
      <c r="A33" t="s">
        <v>87</v>
      </c>
      <c r="B33">
        <v>36005</v>
      </c>
      <c r="C33" s="8">
        <f>VLOOKUP(B33,'ER Contributions'!A:D,4,FALSE)</f>
        <v>86862</v>
      </c>
      <c r="D33" s="9">
        <f>VLOOKUP(B33,'ER Contributions'!A:D,3,FALSE)</f>
        <v>3.7672000000000001E-3</v>
      </c>
      <c r="E33" s="8">
        <f>VLOOKUP(B33,'75 - Summary Exhibit'!A:N,3,FALSE)</f>
        <v>-124039</v>
      </c>
      <c r="F33" s="10">
        <f>VLOOKUP(B33,'75 - Summary Exhibit'!A:N,4,FALSE)</f>
        <v>50006</v>
      </c>
      <c r="G33" s="10">
        <f>VLOOKUP(B33,'75 - Summary Exhibit'!A:N,5,FALSE)</f>
        <v>97378</v>
      </c>
      <c r="H33" s="10">
        <f>VLOOKUP(B33,'75 - Summary Exhibit'!A:N,6,FALSE)</f>
        <v>1850</v>
      </c>
      <c r="I33" s="8">
        <f>VLOOKUP(B33,'75 - Summary Exhibit'!A:N,7,FALSE)</f>
        <v>28612</v>
      </c>
      <c r="J33" s="8">
        <f>VLOOKUP(B33,'75 - Summary Exhibit'!A:N,8,FALSE)</f>
        <v>142671</v>
      </c>
      <c r="K33" s="8">
        <f>VLOOKUP(B33,'75 - Summary Exhibit'!A:N,9,FALSE)</f>
        <v>0</v>
      </c>
      <c r="L33" s="8">
        <f>VLOOKUP(B33,'75 - Summary Exhibit'!A:N,10,FALSE)</f>
        <v>57789</v>
      </c>
      <c r="M33" s="8">
        <f>VLOOKUP(B33,'75 - Summary Exhibit'!A:N,11,FALSE)</f>
        <v>809</v>
      </c>
      <c r="N33" s="8">
        <f>VLOOKUP(B33,'75 - Summary Exhibit'!A:N,12,FALSE)</f>
        <v>66171</v>
      </c>
      <c r="O33" s="8">
        <f>VLOOKUP(B33,'75 - Summary Exhibit'!A:N,13,FALSE)</f>
        <v>9820</v>
      </c>
      <c r="P33" s="8">
        <f t="shared" si="0"/>
        <v>75991</v>
      </c>
      <c r="Q33" s="8">
        <f>VLOOKUP(B33,'75- Deferred Amortization'!A:H,3,FALSE)</f>
        <v>-40034</v>
      </c>
      <c r="R33" s="8">
        <f>VLOOKUP(B33,'75- Deferred Amortization'!A:H,4,FALSE)</f>
        <v>-25692</v>
      </c>
      <c r="S33" s="8">
        <f>VLOOKUP(B33,'75- Deferred Amortization'!A:H,5,FALSE)</f>
        <v>25163</v>
      </c>
      <c r="T33" s="8">
        <f>VLOOKUP(B33,'75- Deferred Amortization'!A:H,6,FALSE)</f>
        <v>10976</v>
      </c>
      <c r="U33" s="8">
        <f>VLOOKUP(B33,'75- Deferred Amortization'!A:H,7,FALSE)</f>
        <v>6165</v>
      </c>
      <c r="V33" s="8">
        <f>VLOOKUP(B33,'75- Deferred Amortization'!A:H,8,FALSE)</f>
        <v>0</v>
      </c>
      <c r="X33">
        <v>2</v>
      </c>
      <c r="Y33" s="8">
        <f t="shared" si="1"/>
        <v>0</v>
      </c>
      <c r="Z33" s="8">
        <f t="shared" si="2"/>
        <v>-1</v>
      </c>
      <c r="AB33" s="8">
        <f>'NOPEB asset change'!F32</f>
        <v>-95908</v>
      </c>
      <c r="AC33" s="8">
        <v>95908</v>
      </c>
      <c r="AD33" s="10">
        <v>84051</v>
      </c>
      <c r="AE33" s="10">
        <v>125269</v>
      </c>
      <c r="AF33" s="10">
        <v>6989</v>
      </c>
      <c r="AG33" s="8">
        <v>38837</v>
      </c>
      <c r="AH33" s="8">
        <v>53121</v>
      </c>
      <c r="AI33" s="8">
        <v>0</v>
      </c>
      <c r="AJ33" s="8">
        <v>16372</v>
      </c>
      <c r="AK33" s="8">
        <v>0</v>
      </c>
      <c r="AM33" s="8">
        <f t="shared" si="11"/>
        <v>-10225</v>
      </c>
      <c r="AN33" s="8">
        <f t="shared" si="3"/>
        <v>809</v>
      </c>
      <c r="AO33" s="10">
        <f t="shared" si="4"/>
        <v>-34045</v>
      </c>
      <c r="AP33" s="8">
        <f t="shared" si="5"/>
        <v>89550</v>
      </c>
      <c r="AQ33" s="10">
        <f t="shared" si="6"/>
        <v>-5139</v>
      </c>
      <c r="AR33" s="8">
        <f t="shared" si="7"/>
        <v>41417</v>
      </c>
      <c r="AS33" s="8">
        <f t="shared" si="8"/>
        <v>-219947</v>
      </c>
      <c r="AT33" s="10">
        <f t="shared" si="9"/>
        <v>-27891</v>
      </c>
      <c r="AU33" s="8">
        <f t="shared" si="10"/>
        <v>0</v>
      </c>
      <c r="AV33" s="8">
        <f t="shared" si="12"/>
        <v>-124039</v>
      </c>
    </row>
    <row r="34" spans="1:48" x14ac:dyDescent="0.25">
      <c r="A34" t="s">
        <v>65</v>
      </c>
      <c r="B34">
        <v>32305</v>
      </c>
      <c r="C34" s="8">
        <f>VLOOKUP(B34,'ER Contributions'!A:D,4,FALSE)</f>
        <v>14101</v>
      </c>
      <c r="D34" s="9">
        <f>VLOOKUP(B34,'ER Contributions'!A:D,3,FALSE)</f>
        <v>6.1470000000000003E-4</v>
      </c>
      <c r="E34" s="8">
        <f>VLOOKUP(B34,'75 - Summary Exhibit'!A:N,3,FALSE)</f>
        <v>-20240</v>
      </c>
      <c r="F34" s="10">
        <f>VLOOKUP(B34,'75 - Summary Exhibit'!A:N,4,FALSE)</f>
        <v>8160</v>
      </c>
      <c r="G34" s="10">
        <f>VLOOKUP(B34,'75 - Summary Exhibit'!A:N,5,FALSE)</f>
        <v>15889</v>
      </c>
      <c r="H34" s="10">
        <f>VLOOKUP(B34,'75 - Summary Exhibit'!A:N,6,FALSE)</f>
        <v>302</v>
      </c>
      <c r="I34" s="8">
        <f>VLOOKUP(B34,'75 - Summary Exhibit'!A:N,7,FALSE)</f>
        <v>1766</v>
      </c>
      <c r="J34" s="8">
        <f>VLOOKUP(B34,'75 - Summary Exhibit'!A:N,8,FALSE)</f>
        <v>23280</v>
      </c>
      <c r="K34" s="8">
        <f>VLOOKUP(B34,'75 - Summary Exhibit'!A:N,9,FALSE)</f>
        <v>0</v>
      </c>
      <c r="L34" s="8">
        <f>VLOOKUP(B34,'75 - Summary Exhibit'!A:N,10,FALSE)</f>
        <v>9429</v>
      </c>
      <c r="M34" s="8">
        <f>VLOOKUP(B34,'75 - Summary Exhibit'!A:N,11,FALSE)</f>
        <v>2654</v>
      </c>
      <c r="N34" s="8">
        <f>VLOOKUP(B34,'75 - Summary Exhibit'!A:N,12,FALSE)</f>
        <v>10797</v>
      </c>
      <c r="O34" s="8">
        <f>VLOOKUP(B34,'75 - Summary Exhibit'!A:N,13,FALSE)</f>
        <v>81</v>
      </c>
      <c r="P34" s="8">
        <f t="shared" si="0"/>
        <v>10878</v>
      </c>
      <c r="Q34" s="8">
        <f>VLOOKUP(B34,'75- Deferred Amortization'!A:H,3,FALSE)</f>
        <v>-8652</v>
      </c>
      <c r="R34" s="8">
        <f>VLOOKUP(B34,'75- Deferred Amortization'!A:H,4,FALSE)</f>
        <v>-5652</v>
      </c>
      <c r="S34" s="8">
        <f>VLOOKUP(B34,'75- Deferred Amortization'!A:H,5,FALSE)</f>
        <v>2612</v>
      </c>
      <c r="T34" s="8">
        <f>VLOOKUP(B34,'75- Deferred Amortization'!A:H,6,FALSE)</f>
        <v>1691</v>
      </c>
      <c r="U34" s="8">
        <f>VLOOKUP(B34,'75- Deferred Amortization'!A:H,7,FALSE)</f>
        <v>755</v>
      </c>
      <c r="V34" s="8">
        <f>VLOOKUP(B34,'75- Deferred Amortization'!A:H,8,FALSE)</f>
        <v>0</v>
      </c>
      <c r="X34">
        <v>2</v>
      </c>
      <c r="Y34" s="8">
        <f t="shared" si="1"/>
        <v>2</v>
      </c>
      <c r="Z34" s="8">
        <f t="shared" si="2"/>
        <v>0</v>
      </c>
      <c r="AB34" s="8">
        <f>'NOPEB asset change'!F33</f>
        <v>-15963</v>
      </c>
      <c r="AC34" s="8">
        <v>15963</v>
      </c>
      <c r="AD34" s="10">
        <v>13989</v>
      </c>
      <c r="AE34" s="10">
        <v>20850</v>
      </c>
      <c r="AF34" s="10">
        <v>1163</v>
      </c>
      <c r="AG34" s="8">
        <v>3026</v>
      </c>
      <c r="AH34" s="8">
        <v>8842</v>
      </c>
      <c r="AI34" s="8">
        <v>0</v>
      </c>
      <c r="AJ34" s="8">
        <v>2725</v>
      </c>
      <c r="AK34" s="8">
        <v>3729</v>
      </c>
      <c r="AM34" s="8">
        <f t="shared" si="11"/>
        <v>-1260</v>
      </c>
      <c r="AN34" s="8">
        <f t="shared" si="3"/>
        <v>-1075</v>
      </c>
      <c r="AO34" s="10">
        <f t="shared" si="4"/>
        <v>-5829</v>
      </c>
      <c r="AP34" s="8">
        <f t="shared" si="5"/>
        <v>14438</v>
      </c>
      <c r="AQ34" s="10">
        <f t="shared" si="6"/>
        <v>-861</v>
      </c>
      <c r="AR34" s="8">
        <f t="shared" si="7"/>
        <v>6704</v>
      </c>
      <c r="AS34" s="8">
        <f t="shared" si="8"/>
        <v>-36203</v>
      </c>
      <c r="AT34" s="10">
        <f t="shared" si="9"/>
        <v>-4961</v>
      </c>
      <c r="AU34" s="8">
        <f t="shared" si="10"/>
        <v>0</v>
      </c>
      <c r="AV34" s="8">
        <f t="shared" si="12"/>
        <v>-20240</v>
      </c>
    </row>
    <row r="35" spans="1:48" x14ac:dyDescent="0.25">
      <c r="A35" t="s">
        <v>93</v>
      </c>
      <c r="B35">
        <v>36705</v>
      </c>
      <c r="C35" s="8">
        <f>VLOOKUP(B35,'ER Contributions'!A:D,4,FALSE)</f>
        <v>18571</v>
      </c>
      <c r="D35" s="9">
        <f>VLOOKUP(B35,'ER Contributions'!A:D,3,FALSE)</f>
        <v>7.8680000000000004E-4</v>
      </c>
      <c r="E35" s="8">
        <f>VLOOKUP(B35,'75 - Summary Exhibit'!A:N,3,FALSE)</f>
        <v>-25906</v>
      </c>
      <c r="F35" s="10">
        <f>VLOOKUP(B35,'75 - Summary Exhibit'!A:N,4,FALSE)</f>
        <v>10444</v>
      </c>
      <c r="G35" s="10">
        <f>VLOOKUP(B35,'75 - Summary Exhibit'!A:N,5,FALSE)</f>
        <v>20338</v>
      </c>
      <c r="H35" s="10">
        <f>VLOOKUP(B35,'75 - Summary Exhibit'!A:N,6,FALSE)</f>
        <v>386</v>
      </c>
      <c r="I35" s="8">
        <f>VLOOKUP(B35,'75 - Summary Exhibit'!A:N,7,FALSE)</f>
        <v>6675</v>
      </c>
      <c r="J35" s="8">
        <f>VLOOKUP(B35,'75 - Summary Exhibit'!A:N,8,FALSE)</f>
        <v>29798</v>
      </c>
      <c r="K35" s="8">
        <f>VLOOKUP(B35,'75 - Summary Exhibit'!A:N,9,FALSE)</f>
        <v>0</v>
      </c>
      <c r="L35" s="8">
        <f>VLOOKUP(B35,'75 - Summary Exhibit'!A:N,10,FALSE)</f>
        <v>12070</v>
      </c>
      <c r="M35" s="8">
        <f>VLOOKUP(B35,'75 - Summary Exhibit'!A:N,11,FALSE)</f>
        <v>2458</v>
      </c>
      <c r="N35" s="8">
        <f>VLOOKUP(B35,'75 - Summary Exhibit'!A:N,12,FALSE)</f>
        <v>13820</v>
      </c>
      <c r="O35" s="8">
        <f>VLOOKUP(B35,'75 - Summary Exhibit'!A:N,13,FALSE)</f>
        <v>2041</v>
      </c>
      <c r="P35" s="8">
        <f t="shared" ref="P35:P66" si="13">N35+O35</f>
        <v>15861</v>
      </c>
      <c r="Q35" s="8">
        <f>VLOOKUP(B35,'75- Deferred Amortization'!A:H,3,FALSE)</f>
        <v>-7654</v>
      </c>
      <c r="R35" s="8">
        <f>VLOOKUP(B35,'75- Deferred Amortization'!A:H,4,FALSE)</f>
        <v>-6458</v>
      </c>
      <c r="S35" s="8">
        <f>VLOOKUP(B35,'75- Deferred Amortization'!A:H,5,FALSE)</f>
        <v>3791</v>
      </c>
      <c r="T35" s="8">
        <f>VLOOKUP(B35,'75- Deferred Amortization'!A:H,6,FALSE)</f>
        <v>2509</v>
      </c>
      <c r="U35" s="8">
        <f>VLOOKUP(B35,'75- Deferred Amortization'!A:H,7,FALSE)</f>
        <v>1330</v>
      </c>
      <c r="V35" s="8">
        <f>VLOOKUP(B35,'75- Deferred Amortization'!A:H,8,FALSE)</f>
        <v>0</v>
      </c>
      <c r="X35">
        <v>2</v>
      </c>
      <c r="Y35" s="8">
        <f t="shared" si="1"/>
        <v>-1</v>
      </c>
      <c r="Z35" s="8">
        <f t="shared" si="2"/>
        <v>-1</v>
      </c>
      <c r="AB35" s="8">
        <f>'NOPEB asset change'!F34</f>
        <v>-21314</v>
      </c>
      <c r="AC35" s="8">
        <v>21314</v>
      </c>
      <c r="AD35" s="10">
        <v>18679</v>
      </c>
      <c r="AE35" s="10">
        <v>27839</v>
      </c>
      <c r="AF35" s="10">
        <v>1553</v>
      </c>
      <c r="AG35" s="8">
        <v>9115</v>
      </c>
      <c r="AH35" s="8">
        <v>11805</v>
      </c>
      <c r="AI35" s="8">
        <v>0</v>
      </c>
      <c r="AJ35" s="8">
        <v>3638</v>
      </c>
      <c r="AK35" s="8">
        <v>3715</v>
      </c>
      <c r="AM35" s="8">
        <f t="shared" si="11"/>
        <v>-2440</v>
      </c>
      <c r="AN35" s="8">
        <f t="shared" si="3"/>
        <v>-1257</v>
      </c>
      <c r="AO35" s="10">
        <f t="shared" si="4"/>
        <v>-8235</v>
      </c>
      <c r="AP35" s="8">
        <f t="shared" si="5"/>
        <v>17993</v>
      </c>
      <c r="AQ35" s="10">
        <f t="shared" si="6"/>
        <v>-1167</v>
      </c>
      <c r="AR35" s="8">
        <f t="shared" si="7"/>
        <v>8432</v>
      </c>
      <c r="AS35" s="8">
        <f t="shared" si="8"/>
        <v>-47220</v>
      </c>
      <c r="AT35" s="10">
        <f t="shared" si="9"/>
        <v>-7501</v>
      </c>
      <c r="AU35" s="8">
        <f t="shared" si="10"/>
        <v>0</v>
      </c>
      <c r="AV35" s="8">
        <f t="shared" si="12"/>
        <v>-25906</v>
      </c>
    </row>
    <row r="36" spans="1:48" x14ac:dyDescent="0.25">
      <c r="A36" t="s">
        <v>95</v>
      </c>
      <c r="B36">
        <v>37005</v>
      </c>
      <c r="C36" s="8">
        <f>VLOOKUP(B36,'ER Contributions'!A:D,4,FALSE)</f>
        <v>12624</v>
      </c>
      <c r="D36" s="9">
        <f>VLOOKUP(B36,'ER Contributions'!A:D,3,FALSE)</f>
        <v>5.2099999999999998E-4</v>
      </c>
      <c r="E36" s="8">
        <f>VLOOKUP(B36,'75 - Summary Exhibit'!A:N,3,FALSE)</f>
        <v>-17154</v>
      </c>
      <c r="F36" s="10">
        <f>VLOOKUP(B36,'75 - Summary Exhibit'!A:N,4,FALSE)</f>
        <v>6916</v>
      </c>
      <c r="G36" s="10">
        <f>VLOOKUP(B36,'75 - Summary Exhibit'!A:N,5,FALSE)</f>
        <v>13467</v>
      </c>
      <c r="H36" s="10">
        <f>VLOOKUP(B36,'75 - Summary Exhibit'!A:N,6,FALSE)</f>
        <v>256</v>
      </c>
      <c r="I36" s="8">
        <f>VLOOKUP(B36,'75 - Summary Exhibit'!A:N,7,FALSE)</f>
        <v>1234</v>
      </c>
      <c r="J36" s="8">
        <f>VLOOKUP(B36,'75 - Summary Exhibit'!A:N,8,FALSE)</f>
        <v>19731</v>
      </c>
      <c r="K36" s="8">
        <f>VLOOKUP(B36,'75 - Summary Exhibit'!A:N,9,FALSE)</f>
        <v>0</v>
      </c>
      <c r="L36" s="8">
        <f>VLOOKUP(B36,'75 - Summary Exhibit'!A:N,10,FALSE)</f>
        <v>7992</v>
      </c>
      <c r="M36" s="8">
        <f>VLOOKUP(B36,'75 - Summary Exhibit'!A:N,11,FALSE)</f>
        <v>1098</v>
      </c>
      <c r="N36" s="8">
        <f>VLOOKUP(B36,'75 - Summary Exhibit'!A:N,12,FALSE)</f>
        <v>9151</v>
      </c>
      <c r="O36" s="8">
        <f>VLOOKUP(B36,'75 - Summary Exhibit'!A:N,13,FALSE)</f>
        <v>602</v>
      </c>
      <c r="P36" s="8">
        <f t="shared" si="13"/>
        <v>9753</v>
      </c>
      <c r="Q36" s="8">
        <f>VLOOKUP(B36,'75- Deferred Amortization'!A:H,3,FALSE)</f>
        <v>-6483</v>
      </c>
      <c r="R36" s="8">
        <f>VLOOKUP(B36,'75- Deferred Amortization'!A:H,4,FALSE)</f>
        <v>-4346</v>
      </c>
      <c r="S36" s="8">
        <f>VLOOKUP(B36,'75- Deferred Amortization'!A:H,5,FALSE)</f>
        <v>2369</v>
      </c>
      <c r="T36" s="8">
        <f>VLOOKUP(B36,'75- Deferred Amortization'!A:H,6,FALSE)</f>
        <v>981</v>
      </c>
      <c r="U36" s="8">
        <f>VLOOKUP(B36,'75- Deferred Amortization'!A:H,7,FALSE)</f>
        <v>530</v>
      </c>
      <c r="V36" s="8">
        <f>VLOOKUP(B36,'75- Deferred Amortization'!A:H,8,FALSE)</f>
        <v>0</v>
      </c>
      <c r="X36">
        <v>2</v>
      </c>
      <c r="Y36" s="8">
        <f t="shared" ref="Y36:Y67" si="14">ROUND(((F36-AD36)+(G36-AE36)+(H36-AF36)+(I36-AG36)+(AI36-K36)+P36-(E36-AC36)-(J36-AH36)-(L36-AJ36)-(M36-AK36)-C36),0)</f>
        <v>-1</v>
      </c>
      <c r="Z36" s="8">
        <f t="shared" ref="Z36:Z67" si="15">ROUND((F36+G36+H36+I36-J36-K36-L36-M36-Q36-R36-S36-T36-U36-V36),0)</f>
        <v>1</v>
      </c>
      <c r="AB36" s="8">
        <f>'NOPEB asset change'!F35</f>
        <v>-13910</v>
      </c>
      <c r="AC36" s="8">
        <v>13910</v>
      </c>
      <c r="AD36" s="10">
        <v>12190</v>
      </c>
      <c r="AE36" s="10">
        <v>18168</v>
      </c>
      <c r="AF36" s="10">
        <v>1014</v>
      </c>
      <c r="AG36" s="8">
        <v>1313</v>
      </c>
      <c r="AH36" s="8">
        <v>7704</v>
      </c>
      <c r="AI36" s="8">
        <v>0</v>
      </c>
      <c r="AJ36" s="8">
        <v>2374</v>
      </c>
      <c r="AK36" s="8">
        <v>1361</v>
      </c>
      <c r="AM36" s="8">
        <f t="shared" si="11"/>
        <v>-79</v>
      </c>
      <c r="AN36" s="8">
        <f t="shared" ref="AN36:AN67" si="16">M36-AK36</f>
        <v>-263</v>
      </c>
      <c r="AO36" s="10">
        <f t="shared" ref="AO36:AO67" si="17">F36-AD36</f>
        <v>-5274</v>
      </c>
      <c r="AP36" s="8">
        <f t="shared" ref="AP36:AP67" si="18">J36-AH36</f>
        <v>12027</v>
      </c>
      <c r="AQ36" s="10">
        <f t="shared" ref="AQ36:AQ67" si="19">H36-AF36</f>
        <v>-758</v>
      </c>
      <c r="AR36" s="8">
        <f t="shared" ref="AR36:AR67" si="20">L36-AJ36</f>
        <v>5618</v>
      </c>
      <c r="AS36" s="8">
        <f t="shared" ref="AS36:AS67" si="21">E36-AC36</f>
        <v>-31064</v>
      </c>
      <c r="AT36" s="10">
        <f t="shared" ref="AT36:AT67" si="22">G36-AE36</f>
        <v>-4701</v>
      </c>
      <c r="AU36" s="8">
        <f t="shared" ref="AU36:AU67" si="23">K36-AI36</f>
        <v>0</v>
      </c>
      <c r="AV36" s="8">
        <f t="shared" si="12"/>
        <v>-17154</v>
      </c>
    </row>
    <row r="37" spans="1:48" x14ac:dyDescent="0.25">
      <c r="A37" t="s">
        <v>67</v>
      </c>
      <c r="B37">
        <v>32505</v>
      </c>
      <c r="C37" s="8">
        <f>VLOOKUP(B37,'ER Contributions'!A:D,4,FALSE)</f>
        <v>16497</v>
      </c>
      <c r="D37" s="9">
        <f>VLOOKUP(B37,'ER Contributions'!A:D,3,FALSE)</f>
        <v>6.7750000000000004E-4</v>
      </c>
      <c r="E37" s="8">
        <f>VLOOKUP(B37,'75 - Summary Exhibit'!A:N,3,FALSE)</f>
        <v>-22307</v>
      </c>
      <c r="F37" s="10">
        <f>VLOOKUP(B37,'75 - Summary Exhibit'!A:N,4,FALSE)</f>
        <v>8993</v>
      </c>
      <c r="G37" s="10">
        <f>VLOOKUP(B37,'75 - Summary Exhibit'!A:N,5,FALSE)</f>
        <v>17513</v>
      </c>
      <c r="H37" s="10">
        <f>VLOOKUP(B37,'75 - Summary Exhibit'!A:N,6,FALSE)</f>
        <v>333</v>
      </c>
      <c r="I37" s="8">
        <f>VLOOKUP(B37,'75 - Summary Exhibit'!A:N,7,FALSE)</f>
        <v>3346</v>
      </c>
      <c r="J37" s="8">
        <f>VLOOKUP(B37,'75 - Summary Exhibit'!A:N,8,FALSE)</f>
        <v>25658</v>
      </c>
      <c r="K37" s="8">
        <f>VLOOKUP(B37,'75 - Summary Exhibit'!A:N,9,FALSE)</f>
        <v>0</v>
      </c>
      <c r="L37" s="8">
        <f>VLOOKUP(B37,'75 - Summary Exhibit'!A:N,10,FALSE)</f>
        <v>10393</v>
      </c>
      <c r="M37" s="8">
        <f>VLOOKUP(B37,'75 - Summary Exhibit'!A:N,11,FALSE)</f>
        <v>891</v>
      </c>
      <c r="N37" s="8">
        <f>VLOOKUP(B37,'75 - Summary Exhibit'!A:N,12,FALSE)</f>
        <v>11900</v>
      </c>
      <c r="O37" s="8">
        <f>VLOOKUP(B37,'75 - Summary Exhibit'!A:N,13,FALSE)</f>
        <v>801</v>
      </c>
      <c r="P37" s="8">
        <f t="shared" si="13"/>
        <v>12701</v>
      </c>
      <c r="Q37" s="8">
        <f>VLOOKUP(B37,'75- Deferred Amortization'!A:H,3,FALSE)</f>
        <v>-7759</v>
      </c>
      <c r="R37" s="8">
        <f>VLOOKUP(B37,'75- Deferred Amortization'!A:H,4,FALSE)</f>
        <v>-5083</v>
      </c>
      <c r="S37" s="8">
        <f>VLOOKUP(B37,'75- Deferred Amortization'!A:H,5,FALSE)</f>
        <v>3682</v>
      </c>
      <c r="T37" s="8">
        <f>VLOOKUP(B37,'75- Deferred Amortization'!A:H,6,FALSE)</f>
        <v>1592</v>
      </c>
      <c r="U37" s="8">
        <f>VLOOKUP(B37,'75- Deferred Amortization'!A:H,7,FALSE)</f>
        <v>811</v>
      </c>
      <c r="V37" s="8">
        <f>VLOOKUP(B37,'75- Deferred Amortization'!A:H,8,FALSE)</f>
        <v>0</v>
      </c>
      <c r="X37">
        <v>2</v>
      </c>
      <c r="Y37" s="8">
        <f t="shared" si="14"/>
        <v>0</v>
      </c>
      <c r="Z37" s="8">
        <f t="shared" si="15"/>
        <v>0</v>
      </c>
      <c r="AB37" s="8">
        <f>'NOPEB asset change'!F36</f>
        <v>-17737</v>
      </c>
      <c r="AC37" s="8">
        <v>17737</v>
      </c>
      <c r="AD37" s="10">
        <v>15544</v>
      </c>
      <c r="AE37" s="10">
        <v>23167</v>
      </c>
      <c r="AF37" s="10">
        <v>1292</v>
      </c>
      <c r="AG37" s="8">
        <v>3588</v>
      </c>
      <c r="AH37" s="8">
        <v>9824</v>
      </c>
      <c r="AI37" s="8">
        <v>0</v>
      </c>
      <c r="AJ37" s="8">
        <v>3028</v>
      </c>
      <c r="AK37" s="8">
        <v>1248</v>
      </c>
      <c r="AM37" s="8">
        <f t="shared" si="11"/>
        <v>-242</v>
      </c>
      <c r="AN37" s="8">
        <f t="shared" si="16"/>
        <v>-357</v>
      </c>
      <c r="AO37" s="10">
        <f t="shared" si="17"/>
        <v>-6551</v>
      </c>
      <c r="AP37" s="8">
        <f t="shared" si="18"/>
        <v>15834</v>
      </c>
      <c r="AQ37" s="10">
        <f t="shared" si="19"/>
        <v>-959</v>
      </c>
      <c r="AR37" s="8">
        <f t="shared" si="20"/>
        <v>7365</v>
      </c>
      <c r="AS37" s="8">
        <f t="shared" si="21"/>
        <v>-40044</v>
      </c>
      <c r="AT37" s="10">
        <f t="shared" si="22"/>
        <v>-5654</v>
      </c>
      <c r="AU37" s="8">
        <f t="shared" si="23"/>
        <v>0</v>
      </c>
      <c r="AV37" s="8">
        <f t="shared" si="12"/>
        <v>-22307</v>
      </c>
    </row>
    <row r="38" spans="1:48" x14ac:dyDescent="0.25">
      <c r="A38" t="s">
        <v>69</v>
      </c>
      <c r="B38">
        <v>32905</v>
      </c>
      <c r="C38" s="8">
        <f>VLOOKUP(B38,'ER Contributions'!A:D,4,FALSE)</f>
        <v>18792</v>
      </c>
      <c r="D38" s="9">
        <f>VLOOKUP(B38,'ER Contributions'!A:D,3,FALSE)</f>
        <v>7.5699999999999997E-4</v>
      </c>
      <c r="E38" s="8">
        <f>VLOOKUP(B38,'75 - Summary Exhibit'!A:N,3,FALSE)</f>
        <v>-24925</v>
      </c>
      <c r="F38" s="10">
        <f>VLOOKUP(B38,'75 - Summary Exhibit'!A:N,4,FALSE)</f>
        <v>10048</v>
      </c>
      <c r="G38" s="10">
        <f>VLOOKUP(B38,'75 - Summary Exhibit'!A:N,5,FALSE)</f>
        <v>19568</v>
      </c>
      <c r="H38" s="10">
        <f>VLOOKUP(B38,'75 - Summary Exhibit'!A:N,6,FALSE)</f>
        <v>372</v>
      </c>
      <c r="I38" s="8">
        <f>VLOOKUP(B38,'75 - Summary Exhibit'!A:N,7,FALSE)</f>
        <v>5037</v>
      </c>
      <c r="J38" s="8">
        <f>VLOOKUP(B38,'75 - Summary Exhibit'!A:N,8,FALSE)</f>
        <v>28669</v>
      </c>
      <c r="K38" s="8">
        <f>VLOOKUP(B38,'75 - Summary Exhibit'!A:N,9,FALSE)</f>
        <v>0</v>
      </c>
      <c r="L38" s="8">
        <f>VLOOKUP(B38,'75 - Summary Exhibit'!A:N,10,FALSE)</f>
        <v>11612</v>
      </c>
      <c r="M38" s="8">
        <f>VLOOKUP(B38,'75 - Summary Exhibit'!A:N,11,FALSE)</f>
        <v>545</v>
      </c>
      <c r="N38" s="8">
        <f>VLOOKUP(B38,'75 - Summary Exhibit'!A:N,12,FALSE)</f>
        <v>13297</v>
      </c>
      <c r="O38" s="8">
        <f>VLOOKUP(B38,'75 - Summary Exhibit'!A:N,13,FALSE)</f>
        <v>2504</v>
      </c>
      <c r="P38" s="8">
        <f t="shared" si="13"/>
        <v>15801</v>
      </c>
      <c r="Q38" s="8">
        <f>VLOOKUP(B38,'75- Deferred Amortization'!A:H,3,FALSE)</f>
        <v>-7911</v>
      </c>
      <c r="R38" s="8">
        <f>VLOOKUP(B38,'75- Deferred Amortization'!A:H,4,FALSE)</f>
        <v>-5181</v>
      </c>
      <c r="S38" s="8">
        <f>VLOOKUP(B38,'75- Deferred Amortization'!A:H,5,FALSE)</f>
        <v>4462</v>
      </c>
      <c r="T38" s="8">
        <f>VLOOKUP(B38,'75- Deferred Amortization'!A:H,6,FALSE)</f>
        <v>1859</v>
      </c>
      <c r="U38" s="8">
        <f>VLOOKUP(B38,'75- Deferred Amortization'!A:H,7,FALSE)</f>
        <v>968</v>
      </c>
      <c r="V38" s="8">
        <f>VLOOKUP(B38,'75- Deferred Amortization'!A:H,8,FALSE)</f>
        <v>0</v>
      </c>
      <c r="X38">
        <v>2</v>
      </c>
      <c r="Y38" s="8">
        <f t="shared" si="14"/>
        <v>0</v>
      </c>
      <c r="Z38" s="8">
        <f t="shared" si="15"/>
        <v>2</v>
      </c>
      <c r="AB38" s="8">
        <f>'NOPEB asset change'!F37</f>
        <v>-19992</v>
      </c>
      <c r="AC38" s="8">
        <v>19992</v>
      </c>
      <c r="AD38" s="10">
        <v>17521</v>
      </c>
      <c r="AE38" s="10">
        <v>26113</v>
      </c>
      <c r="AF38" s="10">
        <v>1457</v>
      </c>
      <c r="AG38" s="8">
        <v>6174</v>
      </c>
      <c r="AH38" s="8">
        <v>11073</v>
      </c>
      <c r="AI38" s="8">
        <v>0</v>
      </c>
      <c r="AJ38" s="8">
        <v>3413</v>
      </c>
      <c r="AK38" s="8">
        <v>654</v>
      </c>
      <c r="AM38" s="8">
        <f t="shared" si="11"/>
        <v>-1137</v>
      </c>
      <c r="AN38" s="8">
        <f t="shared" si="16"/>
        <v>-109</v>
      </c>
      <c r="AO38" s="10">
        <f t="shared" si="17"/>
        <v>-7473</v>
      </c>
      <c r="AP38" s="8">
        <f t="shared" si="18"/>
        <v>17596</v>
      </c>
      <c r="AQ38" s="10">
        <f t="shared" si="19"/>
        <v>-1085</v>
      </c>
      <c r="AR38" s="8">
        <f t="shared" si="20"/>
        <v>8199</v>
      </c>
      <c r="AS38" s="8">
        <f t="shared" si="21"/>
        <v>-44917</v>
      </c>
      <c r="AT38" s="10">
        <f t="shared" si="22"/>
        <v>-6545</v>
      </c>
      <c r="AU38" s="8">
        <f t="shared" si="23"/>
        <v>0</v>
      </c>
      <c r="AV38" s="8">
        <f t="shared" si="12"/>
        <v>-24925</v>
      </c>
    </row>
    <row r="39" spans="1:48" x14ac:dyDescent="0.25">
      <c r="A39" t="s">
        <v>71</v>
      </c>
      <c r="B39">
        <v>33205</v>
      </c>
      <c r="C39" s="8">
        <f>VLOOKUP(B39,'ER Contributions'!A:D,4,FALSE)</f>
        <v>27872</v>
      </c>
      <c r="D39" s="9">
        <f>VLOOKUP(B39,'ER Contributions'!A:D,3,FALSE)</f>
        <v>1.196E-3</v>
      </c>
      <c r="E39" s="8">
        <f>VLOOKUP(B39,'75 - Summary Exhibit'!A:N,3,FALSE)</f>
        <v>-39379</v>
      </c>
      <c r="F39" s="10">
        <f>VLOOKUP(B39,'75 - Summary Exhibit'!A:N,4,FALSE)</f>
        <v>15876</v>
      </c>
      <c r="G39" s="10">
        <f>VLOOKUP(B39,'75 - Summary Exhibit'!A:N,5,FALSE)</f>
        <v>30915</v>
      </c>
      <c r="H39" s="10">
        <f>VLOOKUP(B39,'75 - Summary Exhibit'!A:N,6,FALSE)</f>
        <v>587</v>
      </c>
      <c r="I39" s="8">
        <f>VLOOKUP(B39,'75 - Summary Exhibit'!A:N,7,FALSE)</f>
        <v>4395</v>
      </c>
      <c r="J39" s="8">
        <f>VLOOKUP(B39,'75 - Summary Exhibit'!A:N,8,FALSE)</f>
        <v>45295</v>
      </c>
      <c r="K39" s="8">
        <f>VLOOKUP(B39,'75 - Summary Exhibit'!A:N,9,FALSE)</f>
        <v>0</v>
      </c>
      <c r="L39" s="8">
        <f>VLOOKUP(B39,'75 - Summary Exhibit'!A:N,10,FALSE)</f>
        <v>18347</v>
      </c>
      <c r="M39" s="8">
        <f>VLOOKUP(B39,'75 - Summary Exhibit'!A:N,11,FALSE)</f>
        <v>1901</v>
      </c>
      <c r="N39" s="8">
        <f>VLOOKUP(B39,'75 - Summary Exhibit'!A:N,12,FALSE)</f>
        <v>21008</v>
      </c>
      <c r="O39" s="8">
        <f>VLOOKUP(B39,'75 - Summary Exhibit'!A:N,13,FALSE)</f>
        <v>1935</v>
      </c>
      <c r="P39" s="8">
        <f t="shared" si="13"/>
        <v>22943</v>
      </c>
      <c r="Q39" s="8">
        <f>VLOOKUP(B39,'75- Deferred Amortization'!A:H,3,FALSE)</f>
        <v>-14430</v>
      </c>
      <c r="R39" s="8">
        <f>VLOOKUP(B39,'75- Deferred Amortization'!A:H,4,FALSE)</f>
        <v>-9623</v>
      </c>
      <c r="S39" s="8">
        <f>VLOOKUP(B39,'75- Deferred Amortization'!A:H,5,FALSE)</f>
        <v>6455</v>
      </c>
      <c r="T39" s="8">
        <f>VLOOKUP(B39,'75- Deferred Amortization'!A:H,6,FALSE)</f>
        <v>2481</v>
      </c>
      <c r="U39" s="8">
        <f>VLOOKUP(B39,'75- Deferred Amortization'!A:H,7,FALSE)</f>
        <v>1349</v>
      </c>
      <c r="V39" s="8">
        <f>VLOOKUP(B39,'75- Deferred Amortization'!A:H,8,FALSE)</f>
        <v>0</v>
      </c>
      <c r="X39">
        <v>2</v>
      </c>
      <c r="Y39" s="8">
        <f t="shared" si="14"/>
        <v>-1</v>
      </c>
      <c r="Z39" s="8">
        <f t="shared" si="15"/>
        <v>-2</v>
      </c>
      <c r="AB39" s="8">
        <f>'NOPEB asset change'!F38</f>
        <v>-30266</v>
      </c>
      <c r="AC39" s="8">
        <v>30266</v>
      </c>
      <c r="AD39" s="10">
        <v>26525</v>
      </c>
      <c r="AE39" s="10">
        <v>39532</v>
      </c>
      <c r="AF39" s="10">
        <v>2205</v>
      </c>
      <c r="AG39" s="8">
        <v>6767</v>
      </c>
      <c r="AH39" s="8">
        <v>16764</v>
      </c>
      <c r="AI39" s="8">
        <v>0</v>
      </c>
      <c r="AJ39" s="8">
        <v>5167</v>
      </c>
      <c r="AK39" s="8">
        <v>2151</v>
      </c>
      <c r="AM39" s="8">
        <f t="shared" si="11"/>
        <v>-2372</v>
      </c>
      <c r="AN39" s="8">
        <f t="shared" si="16"/>
        <v>-250</v>
      </c>
      <c r="AO39" s="10">
        <f t="shared" si="17"/>
        <v>-10649</v>
      </c>
      <c r="AP39" s="8">
        <f t="shared" si="18"/>
        <v>28531</v>
      </c>
      <c r="AQ39" s="10">
        <f t="shared" si="19"/>
        <v>-1618</v>
      </c>
      <c r="AR39" s="8">
        <f t="shared" si="20"/>
        <v>13180</v>
      </c>
      <c r="AS39" s="8">
        <f t="shared" si="21"/>
        <v>-69645</v>
      </c>
      <c r="AT39" s="10">
        <f t="shared" si="22"/>
        <v>-8617</v>
      </c>
      <c r="AU39" s="8">
        <f t="shared" si="23"/>
        <v>0</v>
      </c>
      <c r="AV39" s="8">
        <f t="shared" si="12"/>
        <v>-39379</v>
      </c>
    </row>
    <row r="40" spans="1:48" x14ac:dyDescent="0.25">
      <c r="A40" t="s">
        <v>72</v>
      </c>
      <c r="B40">
        <v>33305</v>
      </c>
      <c r="C40" s="8">
        <f>VLOOKUP(B40,'ER Contributions'!A:D,4,FALSE)</f>
        <v>10179</v>
      </c>
      <c r="D40" s="9">
        <f>VLOOKUP(B40,'ER Contributions'!A:D,3,FALSE)</f>
        <v>4.0259999999999997E-4</v>
      </c>
      <c r="E40" s="8">
        <f>VLOOKUP(B40,'75 - Summary Exhibit'!A:N,3,FALSE)</f>
        <v>-13256</v>
      </c>
      <c r="F40" s="10">
        <f>VLOOKUP(B40,'75 - Summary Exhibit'!A:N,4,FALSE)</f>
        <v>5344</v>
      </c>
      <c r="G40" s="10">
        <f>VLOOKUP(B40,'75 - Summary Exhibit'!A:N,5,FALSE)</f>
        <v>10407</v>
      </c>
      <c r="H40" s="10">
        <f>VLOOKUP(B40,'75 - Summary Exhibit'!A:N,6,FALSE)</f>
        <v>198</v>
      </c>
      <c r="I40" s="8">
        <f>VLOOKUP(B40,'75 - Summary Exhibit'!A:N,7,FALSE)</f>
        <v>7184</v>
      </c>
      <c r="J40" s="8">
        <f>VLOOKUP(B40,'75 - Summary Exhibit'!A:N,8,FALSE)</f>
        <v>15247</v>
      </c>
      <c r="K40" s="8">
        <f>VLOOKUP(B40,'75 - Summary Exhibit'!A:N,9,FALSE)</f>
        <v>0</v>
      </c>
      <c r="L40" s="8">
        <f>VLOOKUP(B40,'75 - Summary Exhibit'!A:N,10,FALSE)</f>
        <v>6176</v>
      </c>
      <c r="M40" s="8">
        <f>VLOOKUP(B40,'75 - Summary Exhibit'!A:N,11,FALSE)</f>
        <v>158</v>
      </c>
      <c r="N40" s="8">
        <f>VLOOKUP(B40,'75 - Summary Exhibit'!A:N,12,FALSE)</f>
        <v>7072</v>
      </c>
      <c r="O40" s="8">
        <f>VLOOKUP(B40,'75 - Summary Exhibit'!A:N,13,FALSE)</f>
        <v>2493</v>
      </c>
      <c r="P40" s="8">
        <f t="shared" si="13"/>
        <v>9565</v>
      </c>
      <c r="Q40" s="8">
        <f>VLOOKUP(B40,'75- Deferred Amortization'!A:H,3,FALSE)</f>
        <v>-3333</v>
      </c>
      <c r="R40" s="8">
        <f>VLOOKUP(B40,'75- Deferred Amortization'!A:H,4,FALSE)</f>
        <v>-1566</v>
      </c>
      <c r="S40" s="8">
        <f>VLOOKUP(B40,'75- Deferred Amortization'!A:H,5,FALSE)</f>
        <v>3486</v>
      </c>
      <c r="T40" s="8">
        <f>VLOOKUP(B40,'75- Deferred Amortization'!A:H,6,FALSE)</f>
        <v>1997</v>
      </c>
      <c r="U40" s="8">
        <f>VLOOKUP(B40,'75- Deferred Amortization'!A:H,7,FALSE)</f>
        <v>968</v>
      </c>
      <c r="V40" s="8">
        <f>VLOOKUP(B40,'75- Deferred Amortization'!A:H,8,FALSE)</f>
        <v>0</v>
      </c>
      <c r="X40">
        <v>2</v>
      </c>
      <c r="Y40" s="8">
        <f t="shared" si="14"/>
        <v>2</v>
      </c>
      <c r="Z40" s="8">
        <f t="shared" si="15"/>
        <v>0</v>
      </c>
      <c r="AB40" s="8">
        <f>'NOPEB asset change'!F39</f>
        <v>-10700</v>
      </c>
      <c r="AC40" s="8">
        <v>10700</v>
      </c>
      <c r="AD40" s="10">
        <v>9377</v>
      </c>
      <c r="AE40" s="10">
        <v>13975</v>
      </c>
      <c r="AF40" s="10">
        <v>780</v>
      </c>
      <c r="AG40" s="8">
        <v>8827</v>
      </c>
      <c r="AH40" s="8">
        <v>5926</v>
      </c>
      <c r="AI40" s="8">
        <v>0</v>
      </c>
      <c r="AJ40" s="8">
        <v>1826</v>
      </c>
      <c r="AK40" s="8">
        <v>315</v>
      </c>
      <c r="AM40" s="8">
        <f t="shared" si="11"/>
        <v>-1643</v>
      </c>
      <c r="AN40" s="8">
        <f t="shared" si="16"/>
        <v>-157</v>
      </c>
      <c r="AO40" s="10">
        <f t="shared" si="17"/>
        <v>-4033</v>
      </c>
      <c r="AP40" s="8">
        <f t="shared" si="18"/>
        <v>9321</v>
      </c>
      <c r="AQ40" s="10">
        <f t="shared" si="19"/>
        <v>-582</v>
      </c>
      <c r="AR40" s="8">
        <f t="shared" si="20"/>
        <v>4350</v>
      </c>
      <c r="AS40" s="8">
        <f t="shared" si="21"/>
        <v>-23956</v>
      </c>
      <c r="AT40" s="10">
        <f t="shared" si="22"/>
        <v>-3568</v>
      </c>
      <c r="AU40" s="8">
        <f t="shared" si="23"/>
        <v>0</v>
      </c>
      <c r="AV40" s="8">
        <f t="shared" si="12"/>
        <v>-13256</v>
      </c>
    </row>
    <row r="41" spans="1:48" x14ac:dyDescent="0.25">
      <c r="A41" t="s">
        <v>68</v>
      </c>
      <c r="B41">
        <v>32605</v>
      </c>
      <c r="C41" s="8">
        <f>VLOOKUP(B41,'ER Contributions'!A:D,4,FALSE)</f>
        <v>60450</v>
      </c>
      <c r="D41" s="9">
        <f>VLOOKUP(B41,'ER Contributions'!A:D,3,FALSE)</f>
        <v>2.5148000000000002E-3</v>
      </c>
      <c r="E41" s="8">
        <f>VLOOKUP(B41,'75 - Summary Exhibit'!A:N,3,FALSE)</f>
        <v>-82802</v>
      </c>
      <c r="F41" s="10">
        <f>VLOOKUP(B41,'75 - Summary Exhibit'!A:N,4,FALSE)</f>
        <v>33381</v>
      </c>
      <c r="G41" s="10">
        <f>VLOOKUP(B41,'75 - Summary Exhibit'!A:N,5,FALSE)</f>
        <v>65005</v>
      </c>
      <c r="H41" s="10">
        <f>VLOOKUP(B41,'75 - Summary Exhibit'!A:N,6,FALSE)</f>
        <v>1235</v>
      </c>
      <c r="I41" s="8">
        <f>VLOOKUP(B41,'75 - Summary Exhibit'!A:N,7,FALSE)</f>
        <v>7064</v>
      </c>
      <c r="J41" s="8">
        <f>VLOOKUP(B41,'75 - Summary Exhibit'!A:N,8,FALSE)</f>
        <v>95241</v>
      </c>
      <c r="K41" s="8">
        <f>VLOOKUP(B41,'75 - Summary Exhibit'!A:N,9,FALSE)</f>
        <v>0</v>
      </c>
      <c r="L41" s="8">
        <f>VLOOKUP(B41,'75 - Summary Exhibit'!A:N,10,FALSE)</f>
        <v>38577</v>
      </c>
      <c r="M41" s="8">
        <f>VLOOKUP(B41,'75 - Summary Exhibit'!A:N,11,FALSE)</f>
        <v>8341</v>
      </c>
      <c r="N41" s="8">
        <f>VLOOKUP(B41,'75 - Summary Exhibit'!A:N,12,FALSE)</f>
        <v>44172</v>
      </c>
      <c r="O41" s="8">
        <f>VLOOKUP(B41,'75 - Summary Exhibit'!A:N,13,FALSE)</f>
        <v>346</v>
      </c>
      <c r="P41" s="8">
        <f t="shared" si="13"/>
        <v>44518</v>
      </c>
      <c r="Q41" s="8">
        <f>VLOOKUP(B41,'75- Deferred Amortization'!A:H,3,FALSE)</f>
        <v>-32977</v>
      </c>
      <c r="R41" s="8">
        <f>VLOOKUP(B41,'75- Deferred Amortization'!A:H,4,FALSE)</f>
        <v>-20634</v>
      </c>
      <c r="S41" s="8">
        <f>VLOOKUP(B41,'75- Deferred Amortization'!A:H,5,FALSE)</f>
        <v>11215</v>
      </c>
      <c r="T41" s="8">
        <f>VLOOKUP(B41,'75- Deferred Amortization'!A:H,6,FALSE)</f>
        <v>4555</v>
      </c>
      <c r="U41" s="8">
        <f>VLOOKUP(B41,'75- Deferred Amortization'!A:H,7,FALSE)</f>
        <v>2369</v>
      </c>
      <c r="V41" s="8">
        <f>VLOOKUP(B41,'75- Deferred Amortization'!A:H,8,FALSE)</f>
        <v>0</v>
      </c>
      <c r="X41">
        <v>2</v>
      </c>
      <c r="Y41" s="8">
        <f t="shared" si="14"/>
        <v>-1</v>
      </c>
      <c r="Z41" s="8">
        <f t="shared" si="15"/>
        <v>-2</v>
      </c>
      <c r="AB41" s="8">
        <f>'NOPEB asset change'!F40</f>
        <v>-71205</v>
      </c>
      <c r="AC41" s="8">
        <v>71205</v>
      </c>
      <c r="AD41" s="10">
        <v>62403</v>
      </c>
      <c r="AE41" s="10">
        <v>93004</v>
      </c>
      <c r="AF41" s="10">
        <v>5189</v>
      </c>
      <c r="AG41" s="8">
        <v>5442</v>
      </c>
      <c r="AH41" s="8">
        <v>39439</v>
      </c>
      <c r="AI41" s="8">
        <v>0</v>
      </c>
      <c r="AJ41" s="8">
        <v>12155</v>
      </c>
      <c r="AK41" s="8">
        <v>11842</v>
      </c>
      <c r="AM41" s="8">
        <f t="shared" si="11"/>
        <v>1622</v>
      </c>
      <c r="AN41" s="8">
        <f t="shared" si="16"/>
        <v>-3501</v>
      </c>
      <c r="AO41" s="10">
        <f t="shared" si="17"/>
        <v>-29022</v>
      </c>
      <c r="AP41" s="8">
        <f t="shared" si="18"/>
        <v>55802</v>
      </c>
      <c r="AQ41" s="10">
        <f t="shared" si="19"/>
        <v>-3954</v>
      </c>
      <c r="AR41" s="8">
        <f t="shared" si="20"/>
        <v>26422</v>
      </c>
      <c r="AS41" s="8">
        <f t="shared" si="21"/>
        <v>-154007</v>
      </c>
      <c r="AT41" s="10">
        <f t="shared" si="22"/>
        <v>-27999</v>
      </c>
      <c r="AU41" s="8">
        <f t="shared" si="23"/>
        <v>0</v>
      </c>
      <c r="AV41" s="8">
        <f t="shared" si="12"/>
        <v>-82802</v>
      </c>
    </row>
    <row r="42" spans="1:48" x14ac:dyDescent="0.25">
      <c r="A42" t="s">
        <v>73</v>
      </c>
      <c r="B42">
        <v>33405</v>
      </c>
      <c r="C42" s="8">
        <f>VLOOKUP(B42,'ER Contributions'!A:D,4,FALSE)</f>
        <v>41201</v>
      </c>
      <c r="D42" s="9">
        <f>VLOOKUP(B42,'ER Contributions'!A:D,3,FALSE)</f>
        <v>1.7894E-3</v>
      </c>
      <c r="E42" s="8">
        <f>VLOOKUP(B42,'75 - Summary Exhibit'!A:N,3,FALSE)</f>
        <v>-58918</v>
      </c>
      <c r="F42" s="10">
        <f>VLOOKUP(B42,'75 - Summary Exhibit'!A:N,4,FALSE)</f>
        <v>23752</v>
      </c>
      <c r="G42" s="10">
        <f>VLOOKUP(B42,'75 - Summary Exhibit'!A:N,5,FALSE)</f>
        <v>46254</v>
      </c>
      <c r="H42" s="10">
        <f>VLOOKUP(B42,'75 - Summary Exhibit'!A:N,6,FALSE)</f>
        <v>879</v>
      </c>
      <c r="I42" s="8">
        <f>VLOOKUP(B42,'75 - Summary Exhibit'!A:N,7,FALSE)</f>
        <v>5594</v>
      </c>
      <c r="J42" s="8">
        <f>VLOOKUP(B42,'75 - Summary Exhibit'!A:N,8,FALSE)</f>
        <v>67768</v>
      </c>
      <c r="K42" s="8">
        <f>VLOOKUP(B42,'75 - Summary Exhibit'!A:N,9,FALSE)</f>
        <v>0</v>
      </c>
      <c r="L42" s="8">
        <f>VLOOKUP(B42,'75 - Summary Exhibit'!A:N,10,FALSE)</f>
        <v>27449</v>
      </c>
      <c r="M42" s="8">
        <f>VLOOKUP(B42,'75 - Summary Exhibit'!A:N,11,FALSE)</f>
        <v>5738</v>
      </c>
      <c r="N42" s="8">
        <f>VLOOKUP(B42,'75 - Summary Exhibit'!A:N,12,FALSE)</f>
        <v>31431</v>
      </c>
      <c r="O42" s="8">
        <f>VLOOKUP(B42,'75 - Summary Exhibit'!A:N,13,FALSE)</f>
        <v>2718</v>
      </c>
      <c r="P42" s="8">
        <f t="shared" si="13"/>
        <v>34149</v>
      </c>
      <c r="Q42" s="8">
        <f>VLOOKUP(B42,'75- Deferred Amortization'!A:H,3,FALSE)</f>
        <v>-22524</v>
      </c>
      <c r="R42" s="8">
        <f>VLOOKUP(B42,'75- Deferred Amortization'!A:H,4,FALSE)</f>
        <v>-15804</v>
      </c>
      <c r="S42" s="8">
        <f>VLOOKUP(B42,'75- Deferred Amortization'!A:H,5,FALSE)</f>
        <v>8751</v>
      </c>
      <c r="T42" s="8">
        <f>VLOOKUP(B42,'75- Deferred Amortization'!A:H,6,FALSE)</f>
        <v>3466</v>
      </c>
      <c r="U42" s="8">
        <f>VLOOKUP(B42,'75- Deferred Amortization'!A:H,7,FALSE)</f>
        <v>1634</v>
      </c>
      <c r="V42" s="8">
        <f>VLOOKUP(B42,'75- Deferred Amortization'!A:H,8,FALSE)</f>
        <v>0</v>
      </c>
      <c r="X42">
        <v>2</v>
      </c>
      <c r="Y42" s="8">
        <f t="shared" si="14"/>
        <v>2</v>
      </c>
      <c r="Z42" s="8">
        <f t="shared" si="15"/>
        <v>1</v>
      </c>
      <c r="AB42" s="8">
        <f>'NOPEB asset change'!F41</f>
        <v>-43421</v>
      </c>
      <c r="AC42" s="8">
        <v>43421</v>
      </c>
      <c r="AD42" s="10">
        <v>38053</v>
      </c>
      <c r="AE42" s="10">
        <v>56713</v>
      </c>
      <c r="AF42" s="10">
        <v>3164</v>
      </c>
      <c r="AG42" s="8">
        <v>9813</v>
      </c>
      <c r="AH42" s="8">
        <v>24050</v>
      </c>
      <c r="AI42" s="8">
        <v>0</v>
      </c>
      <c r="AJ42" s="8">
        <v>7412</v>
      </c>
      <c r="AK42" s="8">
        <v>5472</v>
      </c>
      <c r="AM42" s="8">
        <f t="shared" si="11"/>
        <v>-4219</v>
      </c>
      <c r="AN42" s="8">
        <f t="shared" si="16"/>
        <v>266</v>
      </c>
      <c r="AO42" s="10">
        <f t="shared" si="17"/>
        <v>-14301</v>
      </c>
      <c r="AP42" s="8">
        <f t="shared" si="18"/>
        <v>43718</v>
      </c>
      <c r="AQ42" s="10">
        <f t="shared" si="19"/>
        <v>-2285</v>
      </c>
      <c r="AR42" s="8">
        <f t="shared" si="20"/>
        <v>20037</v>
      </c>
      <c r="AS42" s="8">
        <f t="shared" si="21"/>
        <v>-102339</v>
      </c>
      <c r="AT42" s="10">
        <f t="shared" si="22"/>
        <v>-10459</v>
      </c>
      <c r="AU42" s="8">
        <f t="shared" si="23"/>
        <v>0</v>
      </c>
      <c r="AV42" s="8">
        <f t="shared" si="12"/>
        <v>-58918</v>
      </c>
    </row>
    <row r="43" spans="1:48" x14ac:dyDescent="0.25">
      <c r="A43" t="s">
        <v>74</v>
      </c>
      <c r="B43">
        <v>33605</v>
      </c>
      <c r="C43" s="8">
        <f>VLOOKUP(B43,'ER Contributions'!A:D,4,FALSE)</f>
        <v>29920</v>
      </c>
      <c r="D43" s="9">
        <f>VLOOKUP(B43,'ER Contributions'!A:D,3,FALSE)</f>
        <v>1.1516E-3</v>
      </c>
      <c r="E43" s="8">
        <f>VLOOKUP(B43,'75 - Summary Exhibit'!A:N,3,FALSE)</f>
        <v>-37918</v>
      </c>
      <c r="F43" s="10">
        <f>VLOOKUP(B43,'75 - Summary Exhibit'!A:N,4,FALSE)</f>
        <v>15286</v>
      </c>
      <c r="G43" s="10">
        <f>VLOOKUP(B43,'75 - Summary Exhibit'!A:N,5,FALSE)</f>
        <v>29768</v>
      </c>
      <c r="H43" s="10">
        <f>VLOOKUP(B43,'75 - Summary Exhibit'!A:N,6,FALSE)</f>
        <v>565</v>
      </c>
      <c r="I43" s="8">
        <f>VLOOKUP(B43,'75 - Summary Exhibit'!A:N,7,FALSE)</f>
        <v>13624</v>
      </c>
      <c r="J43" s="8">
        <f>VLOOKUP(B43,'75 - Summary Exhibit'!A:N,8,FALSE)</f>
        <v>43613</v>
      </c>
      <c r="K43" s="8">
        <f>VLOOKUP(B43,'75 - Summary Exhibit'!A:N,9,FALSE)</f>
        <v>0</v>
      </c>
      <c r="L43" s="8">
        <f>VLOOKUP(B43,'75 - Summary Exhibit'!A:N,10,FALSE)</f>
        <v>17666</v>
      </c>
      <c r="M43" s="8">
        <f>VLOOKUP(B43,'75 - Summary Exhibit'!A:N,11,FALSE)</f>
        <v>0</v>
      </c>
      <c r="N43" s="8">
        <f>VLOOKUP(B43,'75 - Summary Exhibit'!A:N,12,FALSE)</f>
        <v>20228</v>
      </c>
      <c r="O43" s="8">
        <f>VLOOKUP(B43,'75 - Summary Exhibit'!A:N,13,FALSE)</f>
        <v>6358</v>
      </c>
      <c r="P43" s="8">
        <f t="shared" si="13"/>
        <v>26586</v>
      </c>
      <c r="Q43" s="8">
        <f>VLOOKUP(B43,'75- Deferred Amortization'!A:H,3,FALSE)</f>
        <v>-9933</v>
      </c>
      <c r="R43" s="8">
        <f>VLOOKUP(B43,'75- Deferred Amortization'!A:H,4,FALSE)</f>
        <v>-6003</v>
      </c>
      <c r="S43" s="8">
        <f>VLOOKUP(B43,'75- Deferred Amortization'!A:H,5,FALSE)</f>
        <v>8333</v>
      </c>
      <c r="T43" s="8">
        <f>VLOOKUP(B43,'75- Deferred Amortization'!A:H,6,FALSE)</f>
        <v>3780</v>
      </c>
      <c r="U43" s="8">
        <f>VLOOKUP(B43,'75- Deferred Amortization'!A:H,7,FALSE)</f>
        <v>1787</v>
      </c>
      <c r="V43" s="8">
        <f>VLOOKUP(B43,'75- Deferred Amortization'!A:H,8,FALSE)</f>
        <v>0</v>
      </c>
      <c r="X43">
        <v>2</v>
      </c>
      <c r="Y43" s="8">
        <f t="shared" si="14"/>
        <v>-1</v>
      </c>
      <c r="Z43" s="8">
        <f t="shared" si="15"/>
        <v>0</v>
      </c>
      <c r="AB43" s="8">
        <f>'NOPEB asset change'!F42</f>
        <v>-29846</v>
      </c>
      <c r="AC43" s="8">
        <v>29846</v>
      </c>
      <c r="AD43" s="10">
        <v>26156</v>
      </c>
      <c r="AE43" s="10">
        <v>38983</v>
      </c>
      <c r="AF43" s="10">
        <v>2175</v>
      </c>
      <c r="AG43" s="8">
        <v>16707</v>
      </c>
      <c r="AH43" s="8">
        <v>16531</v>
      </c>
      <c r="AI43" s="8">
        <v>0</v>
      </c>
      <c r="AJ43" s="8">
        <v>5095</v>
      </c>
      <c r="AK43" s="8">
        <v>0</v>
      </c>
      <c r="AM43" s="8">
        <f t="shared" si="11"/>
        <v>-3083</v>
      </c>
      <c r="AN43" s="8">
        <f t="shared" si="16"/>
        <v>0</v>
      </c>
      <c r="AO43" s="10">
        <f t="shared" si="17"/>
        <v>-10870</v>
      </c>
      <c r="AP43" s="8">
        <f t="shared" si="18"/>
        <v>27082</v>
      </c>
      <c r="AQ43" s="10">
        <f t="shared" si="19"/>
        <v>-1610</v>
      </c>
      <c r="AR43" s="8">
        <f t="shared" si="20"/>
        <v>12571</v>
      </c>
      <c r="AS43" s="8">
        <f t="shared" si="21"/>
        <v>-67764</v>
      </c>
      <c r="AT43" s="10">
        <f t="shared" si="22"/>
        <v>-9215</v>
      </c>
      <c r="AU43" s="8">
        <f t="shared" si="23"/>
        <v>0</v>
      </c>
      <c r="AV43" s="8">
        <f t="shared" si="12"/>
        <v>-37918</v>
      </c>
    </row>
    <row r="44" spans="1:48" x14ac:dyDescent="0.25">
      <c r="A44" t="s">
        <v>75</v>
      </c>
      <c r="B44">
        <v>34105</v>
      </c>
      <c r="C44" s="8">
        <f>VLOOKUP(B44,'ER Contributions'!A:D,4,FALSE)</f>
        <v>49499</v>
      </c>
      <c r="D44" s="9">
        <f>VLOOKUP(B44,'ER Contributions'!A:D,3,FALSE)</f>
        <v>1.8471E-3</v>
      </c>
      <c r="E44" s="8">
        <f>VLOOKUP(B44,'75 - Summary Exhibit'!A:N,3,FALSE)</f>
        <v>-60818</v>
      </c>
      <c r="F44" s="10">
        <f>VLOOKUP(B44,'75 - Summary Exhibit'!A:N,4,FALSE)</f>
        <v>24518</v>
      </c>
      <c r="G44" s="10">
        <f>VLOOKUP(B44,'75 - Summary Exhibit'!A:N,5,FALSE)</f>
        <v>47746</v>
      </c>
      <c r="H44" s="10">
        <f>VLOOKUP(B44,'75 - Summary Exhibit'!A:N,6,FALSE)</f>
        <v>907</v>
      </c>
      <c r="I44" s="8">
        <f>VLOOKUP(B44,'75 - Summary Exhibit'!A:N,7,FALSE)</f>
        <v>22041</v>
      </c>
      <c r="J44" s="8">
        <f>VLOOKUP(B44,'75 - Summary Exhibit'!A:N,8,FALSE)</f>
        <v>69953</v>
      </c>
      <c r="K44" s="8">
        <f>VLOOKUP(B44,'75 - Summary Exhibit'!A:N,9,FALSE)</f>
        <v>0</v>
      </c>
      <c r="L44" s="8">
        <f>VLOOKUP(B44,'75 - Summary Exhibit'!A:N,10,FALSE)</f>
        <v>28335</v>
      </c>
      <c r="M44" s="8">
        <f>VLOOKUP(B44,'75 - Summary Exhibit'!A:N,11,FALSE)</f>
        <v>0</v>
      </c>
      <c r="N44" s="8">
        <f>VLOOKUP(B44,'75 - Summary Exhibit'!A:N,12,FALSE)</f>
        <v>32444</v>
      </c>
      <c r="O44" s="8">
        <f>VLOOKUP(B44,'75 - Summary Exhibit'!A:N,13,FALSE)</f>
        <v>11875</v>
      </c>
      <c r="P44" s="8">
        <f t="shared" si="13"/>
        <v>44319</v>
      </c>
      <c r="Q44" s="8">
        <f>VLOOKUP(B44,'75- Deferred Amortization'!A:H,3,FALSE)</f>
        <v>-15062</v>
      </c>
      <c r="R44" s="8">
        <f>VLOOKUP(B44,'75- Deferred Amortization'!A:H,4,FALSE)</f>
        <v>-9213</v>
      </c>
      <c r="S44" s="8">
        <f>VLOOKUP(B44,'75- Deferred Amortization'!A:H,5,FALSE)</f>
        <v>13054</v>
      </c>
      <c r="T44" s="8">
        <f>VLOOKUP(B44,'75- Deferred Amortization'!A:H,6,FALSE)</f>
        <v>5388</v>
      </c>
      <c r="U44" s="8">
        <f>VLOOKUP(B44,'75- Deferred Amortization'!A:H,7,FALSE)</f>
        <v>2756</v>
      </c>
      <c r="V44" s="8">
        <f>VLOOKUP(B44,'75- Deferred Amortization'!A:H,8,FALSE)</f>
        <v>0</v>
      </c>
      <c r="X44">
        <v>2</v>
      </c>
      <c r="Y44" s="8">
        <f t="shared" si="14"/>
        <v>-1</v>
      </c>
      <c r="Z44" s="8">
        <f t="shared" si="15"/>
        <v>1</v>
      </c>
      <c r="AB44" s="8">
        <f>'NOPEB asset change'!F43</f>
        <v>-49104</v>
      </c>
      <c r="AC44" s="8">
        <v>49104</v>
      </c>
      <c r="AD44" s="10">
        <v>43034</v>
      </c>
      <c r="AE44" s="10">
        <v>64137</v>
      </c>
      <c r="AF44" s="10">
        <v>3578</v>
      </c>
      <c r="AG44" s="8">
        <v>26498</v>
      </c>
      <c r="AH44" s="8">
        <v>27198</v>
      </c>
      <c r="AI44" s="8">
        <v>0</v>
      </c>
      <c r="AJ44" s="8">
        <v>8382</v>
      </c>
      <c r="AK44" s="8">
        <v>0</v>
      </c>
      <c r="AM44" s="8">
        <f t="shared" si="11"/>
        <v>-4457</v>
      </c>
      <c r="AN44" s="8">
        <f t="shared" si="16"/>
        <v>0</v>
      </c>
      <c r="AO44" s="10">
        <f t="shared" si="17"/>
        <v>-18516</v>
      </c>
      <c r="AP44" s="8">
        <f t="shared" si="18"/>
        <v>42755</v>
      </c>
      <c r="AQ44" s="10">
        <f t="shared" si="19"/>
        <v>-2671</v>
      </c>
      <c r="AR44" s="8">
        <f t="shared" si="20"/>
        <v>19953</v>
      </c>
      <c r="AS44" s="8">
        <f t="shared" si="21"/>
        <v>-109922</v>
      </c>
      <c r="AT44" s="10">
        <f t="shared" si="22"/>
        <v>-16391</v>
      </c>
      <c r="AU44" s="8">
        <f t="shared" si="23"/>
        <v>0</v>
      </c>
      <c r="AV44" s="8">
        <f t="shared" si="12"/>
        <v>-60818</v>
      </c>
    </row>
    <row r="45" spans="1:48" x14ac:dyDescent="0.25">
      <c r="A45" t="s">
        <v>76</v>
      </c>
      <c r="B45">
        <v>34205</v>
      </c>
      <c r="C45" s="8">
        <f>VLOOKUP(B45,'ER Contributions'!A:D,4,FALSE)</f>
        <v>6775</v>
      </c>
      <c r="D45" s="9">
        <f>VLOOKUP(B45,'ER Contributions'!A:D,3,FALSE)</f>
        <v>2.4699999999999999E-4</v>
      </c>
      <c r="E45" s="8">
        <f>VLOOKUP(B45,'75 - Summary Exhibit'!A:N,3,FALSE)</f>
        <v>-8133</v>
      </c>
      <c r="F45" s="10">
        <f>VLOOKUP(B45,'75 - Summary Exhibit'!A:N,4,FALSE)</f>
        <v>3279</v>
      </c>
      <c r="G45" s="10">
        <f>VLOOKUP(B45,'75 - Summary Exhibit'!A:N,5,FALSE)</f>
        <v>6385</v>
      </c>
      <c r="H45" s="10">
        <f>VLOOKUP(B45,'75 - Summary Exhibit'!A:N,6,FALSE)</f>
        <v>121</v>
      </c>
      <c r="I45" s="8">
        <f>VLOOKUP(B45,'75 - Summary Exhibit'!A:N,7,FALSE)</f>
        <v>5485</v>
      </c>
      <c r="J45" s="8">
        <f>VLOOKUP(B45,'75 - Summary Exhibit'!A:N,8,FALSE)</f>
        <v>9354</v>
      </c>
      <c r="K45" s="8">
        <f>VLOOKUP(B45,'75 - Summary Exhibit'!A:N,9,FALSE)</f>
        <v>0</v>
      </c>
      <c r="L45" s="8">
        <f>VLOOKUP(B45,'75 - Summary Exhibit'!A:N,10,FALSE)</f>
        <v>3789</v>
      </c>
      <c r="M45" s="8">
        <f>VLOOKUP(B45,'75 - Summary Exhibit'!A:N,11,FALSE)</f>
        <v>1163</v>
      </c>
      <c r="N45" s="8">
        <f>VLOOKUP(B45,'75 - Summary Exhibit'!A:N,12,FALSE)</f>
        <v>4339</v>
      </c>
      <c r="O45" s="8">
        <f>VLOOKUP(B45,'75 - Summary Exhibit'!A:N,13,FALSE)</f>
        <v>2560</v>
      </c>
      <c r="P45" s="8">
        <f t="shared" si="13"/>
        <v>6899</v>
      </c>
      <c r="Q45" s="8">
        <f>VLOOKUP(B45,'75- Deferred Amortization'!A:H,3,FALSE)</f>
        <v>-1204</v>
      </c>
      <c r="R45" s="8">
        <f>VLOOKUP(B45,'75- Deferred Amortization'!A:H,4,FALSE)</f>
        <v>-679</v>
      </c>
      <c r="S45" s="8">
        <f>VLOOKUP(B45,'75- Deferred Amortization'!A:H,5,FALSE)</f>
        <v>1999</v>
      </c>
      <c r="T45" s="8">
        <f>VLOOKUP(B45,'75- Deferred Amortization'!A:H,6,FALSE)</f>
        <v>732</v>
      </c>
      <c r="U45" s="8">
        <f>VLOOKUP(B45,'75- Deferred Amortization'!A:H,7,FALSE)</f>
        <v>116</v>
      </c>
      <c r="V45" s="8">
        <f>VLOOKUP(B45,'75- Deferred Amortization'!A:H,8,FALSE)</f>
        <v>0</v>
      </c>
      <c r="X45">
        <v>2</v>
      </c>
      <c r="Y45" s="8">
        <f t="shared" si="14"/>
        <v>1</v>
      </c>
      <c r="Z45" s="8">
        <f t="shared" si="15"/>
        <v>0</v>
      </c>
      <c r="AB45" s="8">
        <f>'NOPEB asset change'!F44</f>
        <v>-7968</v>
      </c>
      <c r="AC45" s="8">
        <v>7968</v>
      </c>
      <c r="AD45" s="10">
        <v>6983</v>
      </c>
      <c r="AE45" s="10">
        <v>10408</v>
      </c>
      <c r="AF45" s="10">
        <v>581</v>
      </c>
      <c r="AG45" s="8">
        <v>6384</v>
      </c>
      <c r="AH45" s="8">
        <v>4413</v>
      </c>
      <c r="AI45" s="8">
        <v>0</v>
      </c>
      <c r="AJ45" s="8">
        <v>1360</v>
      </c>
      <c r="AK45" s="8">
        <v>1395</v>
      </c>
      <c r="AM45" s="8">
        <f t="shared" si="11"/>
        <v>-899</v>
      </c>
      <c r="AN45" s="8">
        <f t="shared" si="16"/>
        <v>-232</v>
      </c>
      <c r="AO45" s="10">
        <f t="shared" si="17"/>
        <v>-3704</v>
      </c>
      <c r="AP45" s="8">
        <f t="shared" si="18"/>
        <v>4941</v>
      </c>
      <c r="AQ45" s="10">
        <f t="shared" si="19"/>
        <v>-460</v>
      </c>
      <c r="AR45" s="8">
        <f t="shared" si="20"/>
        <v>2429</v>
      </c>
      <c r="AS45" s="8">
        <f t="shared" si="21"/>
        <v>-16101</v>
      </c>
      <c r="AT45" s="10">
        <f t="shared" si="22"/>
        <v>-4023</v>
      </c>
      <c r="AU45" s="8">
        <f t="shared" si="23"/>
        <v>0</v>
      </c>
      <c r="AV45" s="8">
        <f t="shared" si="12"/>
        <v>-8133</v>
      </c>
    </row>
    <row r="46" spans="1:48" x14ac:dyDescent="0.25">
      <c r="A46" t="s">
        <v>77</v>
      </c>
      <c r="B46">
        <v>34405</v>
      </c>
      <c r="C46" s="8">
        <f>VLOOKUP(B46,'ER Contributions'!A:D,4,FALSE)</f>
        <v>9262</v>
      </c>
      <c r="D46" s="9">
        <f>VLOOKUP(B46,'ER Contributions'!A:D,3,FALSE)</f>
        <v>3.8660000000000002E-4</v>
      </c>
      <c r="E46" s="8">
        <f>VLOOKUP(B46,'75 - Summary Exhibit'!A:N,3,FALSE)</f>
        <v>-12729</v>
      </c>
      <c r="F46" s="10">
        <f>VLOOKUP(B46,'75 - Summary Exhibit'!A:N,4,FALSE)</f>
        <v>5132</v>
      </c>
      <c r="G46" s="10">
        <f>VLOOKUP(B46,'75 - Summary Exhibit'!A:N,5,FALSE)</f>
        <v>9993</v>
      </c>
      <c r="H46" s="10">
        <f>VLOOKUP(B46,'75 - Summary Exhibit'!A:N,6,FALSE)</f>
        <v>190</v>
      </c>
      <c r="I46" s="8">
        <f>VLOOKUP(B46,'75 - Summary Exhibit'!A:N,7,FALSE)</f>
        <v>3173</v>
      </c>
      <c r="J46" s="8">
        <f>VLOOKUP(B46,'75 - Summary Exhibit'!A:N,8,FALSE)</f>
        <v>14641</v>
      </c>
      <c r="K46" s="8">
        <f>VLOOKUP(B46,'75 - Summary Exhibit'!A:N,9,FALSE)</f>
        <v>0</v>
      </c>
      <c r="L46" s="8">
        <f>VLOOKUP(B46,'75 - Summary Exhibit'!A:N,10,FALSE)</f>
        <v>5930</v>
      </c>
      <c r="M46" s="8">
        <f>VLOOKUP(B46,'75 - Summary Exhibit'!A:N,11,FALSE)</f>
        <v>567</v>
      </c>
      <c r="N46" s="8">
        <f>VLOOKUP(B46,'75 - Summary Exhibit'!A:N,12,FALSE)</f>
        <v>6791</v>
      </c>
      <c r="O46" s="8">
        <f>VLOOKUP(B46,'75 - Summary Exhibit'!A:N,13,FALSE)</f>
        <v>892</v>
      </c>
      <c r="P46" s="8">
        <f t="shared" si="13"/>
        <v>7683</v>
      </c>
      <c r="Q46" s="8">
        <f>VLOOKUP(B46,'75- Deferred Amortization'!A:H,3,FALSE)</f>
        <v>-4179</v>
      </c>
      <c r="R46" s="8">
        <f>VLOOKUP(B46,'75- Deferred Amortization'!A:H,4,FALSE)</f>
        <v>-2659</v>
      </c>
      <c r="S46" s="8">
        <f>VLOOKUP(B46,'75- Deferred Amortization'!A:H,5,FALSE)</f>
        <v>2137</v>
      </c>
      <c r="T46" s="8">
        <f>VLOOKUP(B46,'75- Deferred Amortization'!A:H,6,FALSE)</f>
        <v>1441</v>
      </c>
      <c r="U46" s="8">
        <f>VLOOKUP(B46,'75- Deferred Amortization'!A:H,7,FALSE)</f>
        <v>609</v>
      </c>
      <c r="V46" s="8">
        <f>VLOOKUP(B46,'75- Deferred Amortization'!A:H,8,FALSE)</f>
        <v>0</v>
      </c>
      <c r="X46">
        <v>2</v>
      </c>
      <c r="Y46" s="8">
        <f t="shared" si="14"/>
        <v>1</v>
      </c>
      <c r="Z46" s="8">
        <f t="shared" si="15"/>
        <v>1</v>
      </c>
      <c r="AB46" s="8">
        <f>'NOPEB asset change'!F45</f>
        <v>-11567</v>
      </c>
      <c r="AC46" s="8">
        <v>11567</v>
      </c>
      <c r="AD46" s="10">
        <v>10137</v>
      </c>
      <c r="AE46" s="10">
        <v>15108</v>
      </c>
      <c r="AF46" s="10">
        <v>843</v>
      </c>
      <c r="AG46" s="8">
        <v>3114</v>
      </c>
      <c r="AH46" s="8">
        <v>6407</v>
      </c>
      <c r="AI46" s="8">
        <v>0</v>
      </c>
      <c r="AJ46" s="8">
        <v>1974</v>
      </c>
      <c r="AK46" s="8">
        <v>755</v>
      </c>
      <c r="AM46" s="8">
        <f t="shared" si="11"/>
        <v>59</v>
      </c>
      <c r="AN46" s="8">
        <f t="shared" si="16"/>
        <v>-188</v>
      </c>
      <c r="AO46" s="10">
        <f t="shared" si="17"/>
        <v>-5005</v>
      </c>
      <c r="AP46" s="8">
        <f t="shared" si="18"/>
        <v>8234</v>
      </c>
      <c r="AQ46" s="10">
        <f t="shared" si="19"/>
        <v>-653</v>
      </c>
      <c r="AR46" s="8">
        <f t="shared" si="20"/>
        <v>3956</v>
      </c>
      <c r="AS46" s="8">
        <f t="shared" si="21"/>
        <v>-24296</v>
      </c>
      <c r="AT46" s="10">
        <f t="shared" si="22"/>
        <v>-5115</v>
      </c>
      <c r="AU46" s="8">
        <f t="shared" si="23"/>
        <v>0</v>
      </c>
      <c r="AV46" s="8">
        <f t="shared" si="12"/>
        <v>-12729</v>
      </c>
    </row>
    <row r="47" spans="1:48" x14ac:dyDescent="0.25">
      <c r="A47" t="s">
        <v>103</v>
      </c>
      <c r="B47">
        <v>38105</v>
      </c>
      <c r="C47" s="8">
        <f>VLOOKUP(B47,'ER Contributions'!A:D,4,FALSE)</f>
        <v>11918</v>
      </c>
      <c r="D47" s="9">
        <f>VLOOKUP(B47,'ER Contributions'!A:D,3,FALSE)</f>
        <v>4.7209999999999998E-4</v>
      </c>
      <c r="E47" s="8">
        <f>VLOOKUP(B47,'75 - Summary Exhibit'!A:N,3,FALSE)</f>
        <v>-15544</v>
      </c>
      <c r="F47" s="10">
        <f>VLOOKUP(B47,'75 - Summary Exhibit'!A:N,4,FALSE)</f>
        <v>6267</v>
      </c>
      <c r="G47" s="10">
        <f>VLOOKUP(B47,'75 - Summary Exhibit'!A:N,5,FALSE)</f>
        <v>12203</v>
      </c>
      <c r="H47" s="10">
        <f>VLOOKUP(B47,'75 - Summary Exhibit'!A:N,6,FALSE)</f>
        <v>232</v>
      </c>
      <c r="I47" s="8">
        <f>VLOOKUP(B47,'75 - Summary Exhibit'!A:N,7,FALSE)</f>
        <v>4397</v>
      </c>
      <c r="J47" s="8">
        <f>VLOOKUP(B47,'75 - Summary Exhibit'!A:N,8,FALSE)</f>
        <v>17879</v>
      </c>
      <c r="K47" s="8">
        <f>VLOOKUP(B47,'75 - Summary Exhibit'!A:N,9,FALSE)</f>
        <v>0</v>
      </c>
      <c r="L47" s="8">
        <f>VLOOKUP(B47,'75 - Summary Exhibit'!A:N,10,FALSE)</f>
        <v>7242</v>
      </c>
      <c r="M47" s="8">
        <f>VLOOKUP(B47,'75 - Summary Exhibit'!A:N,11,FALSE)</f>
        <v>0</v>
      </c>
      <c r="N47" s="8">
        <f>VLOOKUP(B47,'75 - Summary Exhibit'!A:N,12,FALSE)</f>
        <v>8292</v>
      </c>
      <c r="O47" s="8">
        <f>VLOOKUP(B47,'75 - Summary Exhibit'!A:N,13,FALSE)</f>
        <v>1888</v>
      </c>
      <c r="P47" s="8">
        <f t="shared" si="13"/>
        <v>10180</v>
      </c>
      <c r="Q47" s="8">
        <f>VLOOKUP(B47,'75- Deferred Amortization'!A:H,3,FALSE)</f>
        <v>-4572</v>
      </c>
      <c r="R47" s="8">
        <f>VLOOKUP(B47,'75- Deferred Amortization'!A:H,4,FALSE)</f>
        <v>-2749</v>
      </c>
      <c r="S47" s="8">
        <f>VLOOKUP(B47,'75- Deferred Amortization'!A:H,5,FALSE)</f>
        <v>3008</v>
      </c>
      <c r="T47" s="8">
        <f>VLOOKUP(B47,'75- Deferred Amortization'!A:H,6,FALSE)</f>
        <v>1507</v>
      </c>
      <c r="U47" s="8">
        <f>VLOOKUP(B47,'75- Deferred Amortization'!A:H,7,FALSE)</f>
        <v>783</v>
      </c>
      <c r="V47" s="8">
        <f>VLOOKUP(B47,'75- Deferred Amortization'!A:H,8,FALSE)</f>
        <v>0</v>
      </c>
      <c r="X47">
        <v>2</v>
      </c>
      <c r="Y47" s="8">
        <f t="shared" si="14"/>
        <v>0</v>
      </c>
      <c r="Z47" s="8">
        <f t="shared" si="15"/>
        <v>1</v>
      </c>
      <c r="AB47" s="8">
        <f>'NOPEB asset change'!F46</f>
        <v>-13564</v>
      </c>
      <c r="AC47" s="8">
        <v>13564</v>
      </c>
      <c r="AD47" s="10">
        <v>11887</v>
      </c>
      <c r="AE47" s="10">
        <v>17716</v>
      </c>
      <c r="AF47" s="10">
        <v>988</v>
      </c>
      <c r="AG47" s="8">
        <v>4585</v>
      </c>
      <c r="AH47" s="8">
        <v>7513</v>
      </c>
      <c r="AI47" s="8">
        <v>0</v>
      </c>
      <c r="AJ47" s="8">
        <v>2315</v>
      </c>
      <c r="AK47" s="8">
        <v>0</v>
      </c>
      <c r="AM47" s="8">
        <f t="shared" si="11"/>
        <v>-188</v>
      </c>
      <c r="AN47" s="8">
        <f t="shared" si="16"/>
        <v>0</v>
      </c>
      <c r="AO47" s="10">
        <f t="shared" si="17"/>
        <v>-5620</v>
      </c>
      <c r="AP47" s="8">
        <f t="shared" si="18"/>
        <v>10366</v>
      </c>
      <c r="AQ47" s="10">
        <f t="shared" si="19"/>
        <v>-756</v>
      </c>
      <c r="AR47" s="8">
        <f t="shared" si="20"/>
        <v>4927</v>
      </c>
      <c r="AS47" s="8">
        <f t="shared" si="21"/>
        <v>-29108</v>
      </c>
      <c r="AT47" s="10">
        <f t="shared" si="22"/>
        <v>-5513</v>
      </c>
      <c r="AU47" s="8">
        <f t="shared" si="23"/>
        <v>0</v>
      </c>
      <c r="AV47" s="8">
        <f t="shared" si="12"/>
        <v>-15544</v>
      </c>
    </row>
    <row r="48" spans="1:48" x14ac:dyDescent="0.25">
      <c r="A48" t="s">
        <v>70</v>
      </c>
      <c r="B48">
        <v>33105</v>
      </c>
      <c r="C48" s="8">
        <f>VLOOKUP(B48,'ER Contributions'!A:D,4,FALSE)</f>
        <v>8941</v>
      </c>
      <c r="D48" s="9">
        <f>VLOOKUP(B48,'ER Contributions'!A:D,3,FALSE)</f>
        <v>3.392E-4</v>
      </c>
      <c r="E48" s="8">
        <f>VLOOKUP(B48,'75 - Summary Exhibit'!A:N,3,FALSE)</f>
        <v>-11168</v>
      </c>
      <c r="F48" s="10">
        <f>VLOOKUP(B48,'75 - Summary Exhibit'!A:N,4,FALSE)</f>
        <v>4503</v>
      </c>
      <c r="G48" s="10">
        <f>VLOOKUP(B48,'75 - Summary Exhibit'!A:N,5,FALSE)</f>
        <v>8768</v>
      </c>
      <c r="H48" s="10">
        <f>VLOOKUP(B48,'75 - Summary Exhibit'!A:N,6,FALSE)</f>
        <v>167</v>
      </c>
      <c r="I48" s="8">
        <f>VLOOKUP(B48,'75 - Summary Exhibit'!A:N,7,FALSE)</f>
        <v>2111</v>
      </c>
      <c r="J48" s="8">
        <f>VLOOKUP(B48,'75 - Summary Exhibit'!A:N,8,FALSE)</f>
        <v>12846</v>
      </c>
      <c r="K48" s="8">
        <f>VLOOKUP(B48,'75 - Summary Exhibit'!A:N,9,FALSE)</f>
        <v>0</v>
      </c>
      <c r="L48" s="8">
        <f>VLOOKUP(B48,'75 - Summary Exhibit'!A:N,10,FALSE)</f>
        <v>5203</v>
      </c>
      <c r="M48" s="8">
        <f>VLOOKUP(B48,'75 - Summary Exhibit'!A:N,11,FALSE)</f>
        <v>1129</v>
      </c>
      <c r="N48" s="8">
        <f>VLOOKUP(B48,'75 - Summary Exhibit'!A:N,12,FALSE)</f>
        <v>5958</v>
      </c>
      <c r="O48" s="8">
        <f>VLOOKUP(B48,'75 - Summary Exhibit'!A:N,13,FALSE)</f>
        <v>634</v>
      </c>
      <c r="P48" s="8">
        <f t="shared" si="13"/>
        <v>6592</v>
      </c>
      <c r="Q48" s="8">
        <f>VLOOKUP(B48,'75- Deferred Amortization'!A:H,3,FALSE)</f>
        <v>-3918</v>
      </c>
      <c r="R48" s="8">
        <f>VLOOKUP(B48,'75- Deferred Amortization'!A:H,4,FALSE)</f>
        <v>-2341</v>
      </c>
      <c r="S48" s="8">
        <f>VLOOKUP(B48,'75- Deferred Amortization'!A:H,5,FALSE)</f>
        <v>1616</v>
      </c>
      <c r="T48" s="8">
        <f>VLOOKUP(B48,'75- Deferred Amortization'!A:H,6,FALSE)</f>
        <v>625</v>
      </c>
      <c r="U48" s="8">
        <f>VLOOKUP(B48,'75- Deferred Amortization'!A:H,7,FALSE)</f>
        <v>388</v>
      </c>
      <c r="V48" s="8">
        <f>VLOOKUP(B48,'75- Deferred Amortization'!A:H,8,FALSE)</f>
        <v>0</v>
      </c>
      <c r="X48">
        <v>2</v>
      </c>
      <c r="Y48" s="8">
        <f t="shared" si="14"/>
        <v>0</v>
      </c>
      <c r="Z48" s="8">
        <f t="shared" si="15"/>
        <v>1</v>
      </c>
      <c r="AB48" s="8">
        <f>'NOPEB asset change'!F47</f>
        <v>-10043</v>
      </c>
      <c r="AC48" s="8">
        <v>10043</v>
      </c>
      <c r="AD48" s="10">
        <v>8801</v>
      </c>
      <c r="AE48" s="10">
        <v>13117</v>
      </c>
      <c r="AF48" s="10">
        <v>732</v>
      </c>
      <c r="AG48" s="8">
        <v>1438</v>
      </c>
      <c r="AH48" s="8">
        <v>5562</v>
      </c>
      <c r="AI48" s="8">
        <v>0</v>
      </c>
      <c r="AJ48" s="8">
        <v>1714</v>
      </c>
      <c r="AK48" s="8">
        <v>1579</v>
      </c>
      <c r="AM48" s="8">
        <f t="shared" si="11"/>
        <v>673</v>
      </c>
      <c r="AN48" s="8">
        <f t="shared" si="16"/>
        <v>-450</v>
      </c>
      <c r="AO48" s="10">
        <f t="shared" si="17"/>
        <v>-4298</v>
      </c>
      <c r="AP48" s="8">
        <f t="shared" si="18"/>
        <v>7284</v>
      </c>
      <c r="AQ48" s="10">
        <f t="shared" si="19"/>
        <v>-565</v>
      </c>
      <c r="AR48" s="8">
        <f t="shared" si="20"/>
        <v>3489</v>
      </c>
      <c r="AS48" s="8">
        <f t="shared" si="21"/>
        <v>-21211</v>
      </c>
      <c r="AT48" s="10">
        <f t="shared" si="22"/>
        <v>-4349</v>
      </c>
      <c r="AU48" s="8">
        <f t="shared" si="23"/>
        <v>0</v>
      </c>
      <c r="AV48" s="8">
        <f t="shared" si="12"/>
        <v>-11168</v>
      </c>
    </row>
    <row r="49" spans="1:48" x14ac:dyDescent="0.25">
      <c r="A49" t="s">
        <v>82</v>
      </c>
      <c r="B49">
        <v>35105</v>
      </c>
      <c r="C49" s="8">
        <f>VLOOKUP(B49,'ER Contributions'!A:D,4,FALSE)</f>
        <v>23560</v>
      </c>
      <c r="D49" s="9">
        <f>VLOOKUP(B49,'ER Contributions'!A:D,3,FALSE)</f>
        <v>1.0166999999999999E-3</v>
      </c>
      <c r="E49" s="8">
        <f>VLOOKUP(B49,'75 - Summary Exhibit'!A:N,3,FALSE)</f>
        <v>-33476</v>
      </c>
      <c r="F49" s="10">
        <f>VLOOKUP(B49,'75 - Summary Exhibit'!A:N,4,FALSE)</f>
        <v>13496</v>
      </c>
      <c r="G49" s="10">
        <f>VLOOKUP(B49,'75 - Summary Exhibit'!A:N,5,FALSE)</f>
        <v>26281</v>
      </c>
      <c r="H49" s="10">
        <f>VLOOKUP(B49,'75 - Summary Exhibit'!A:N,6,FALSE)</f>
        <v>499</v>
      </c>
      <c r="I49" s="8">
        <f>VLOOKUP(B49,'75 - Summary Exhibit'!A:N,7,FALSE)</f>
        <v>2364</v>
      </c>
      <c r="J49" s="8">
        <f>VLOOKUP(B49,'75 - Summary Exhibit'!A:N,8,FALSE)</f>
        <v>38504</v>
      </c>
      <c r="K49" s="8">
        <f>VLOOKUP(B49,'75 - Summary Exhibit'!A:N,9,FALSE)</f>
        <v>0</v>
      </c>
      <c r="L49" s="8">
        <f>VLOOKUP(B49,'75 - Summary Exhibit'!A:N,10,FALSE)</f>
        <v>15596</v>
      </c>
      <c r="M49" s="8">
        <f>VLOOKUP(B49,'75 - Summary Exhibit'!A:N,11,FALSE)</f>
        <v>2019</v>
      </c>
      <c r="N49" s="8">
        <f>VLOOKUP(B49,'75 - Summary Exhibit'!A:N,12,FALSE)</f>
        <v>17858</v>
      </c>
      <c r="O49" s="8">
        <f>VLOOKUP(B49,'75 - Summary Exhibit'!A:N,13,FALSE)</f>
        <v>536</v>
      </c>
      <c r="P49" s="8">
        <f t="shared" si="13"/>
        <v>18394</v>
      </c>
      <c r="Q49" s="8">
        <f>VLOOKUP(B49,'75- Deferred Amortization'!A:H,3,FALSE)</f>
        <v>-12618</v>
      </c>
      <c r="R49" s="8">
        <f>VLOOKUP(B49,'75- Deferred Amortization'!A:H,4,FALSE)</f>
        <v>-9051</v>
      </c>
      <c r="S49" s="8">
        <f>VLOOKUP(B49,'75- Deferred Amortization'!A:H,5,FALSE)</f>
        <v>4801</v>
      </c>
      <c r="T49" s="8">
        <f>VLOOKUP(B49,'75- Deferred Amortization'!A:H,6,FALSE)</f>
        <v>2101</v>
      </c>
      <c r="U49" s="8">
        <f>VLOOKUP(B49,'75- Deferred Amortization'!A:H,7,FALSE)</f>
        <v>1288</v>
      </c>
      <c r="V49" s="8">
        <f>VLOOKUP(B49,'75- Deferred Amortization'!A:H,8,FALSE)</f>
        <v>0</v>
      </c>
      <c r="X49">
        <v>2</v>
      </c>
      <c r="Y49" s="8">
        <f t="shared" si="14"/>
        <v>1</v>
      </c>
      <c r="Z49" s="8">
        <f t="shared" si="15"/>
        <v>0</v>
      </c>
      <c r="AB49" s="8">
        <f>'NOPEB asset change'!F48</f>
        <v>-24955</v>
      </c>
      <c r="AC49" s="8">
        <v>24955</v>
      </c>
      <c r="AD49" s="10">
        <v>21870</v>
      </c>
      <c r="AE49" s="10">
        <v>32595</v>
      </c>
      <c r="AF49" s="10">
        <v>1818</v>
      </c>
      <c r="AG49" s="8">
        <v>3543</v>
      </c>
      <c r="AH49" s="8">
        <v>13822</v>
      </c>
      <c r="AI49" s="8">
        <v>0</v>
      </c>
      <c r="AJ49" s="8">
        <v>4260</v>
      </c>
      <c r="AK49" s="8">
        <v>1959</v>
      </c>
      <c r="AM49" s="8">
        <f t="shared" si="11"/>
        <v>-1179</v>
      </c>
      <c r="AN49" s="8">
        <f t="shared" si="16"/>
        <v>60</v>
      </c>
      <c r="AO49" s="10">
        <f t="shared" si="17"/>
        <v>-8374</v>
      </c>
      <c r="AP49" s="8">
        <f t="shared" si="18"/>
        <v>24682</v>
      </c>
      <c r="AQ49" s="10">
        <f t="shared" si="19"/>
        <v>-1319</v>
      </c>
      <c r="AR49" s="8">
        <f t="shared" si="20"/>
        <v>11336</v>
      </c>
      <c r="AS49" s="8">
        <f t="shared" si="21"/>
        <v>-58431</v>
      </c>
      <c r="AT49" s="10">
        <f t="shared" si="22"/>
        <v>-6314</v>
      </c>
      <c r="AU49" s="8">
        <f t="shared" si="23"/>
        <v>0</v>
      </c>
      <c r="AV49" s="8">
        <f t="shared" si="12"/>
        <v>-33476</v>
      </c>
    </row>
    <row r="50" spans="1:48" x14ac:dyDescent="0.25">
      <c r="A50" t="s">
        <v>84</v>
      </c>
      <c r="B50">
        <v>35405</v>
      </c>
      <c r="C50" s="8">
        <f>VLOOKUP(B50,'ER Contributions'!A:D,4,FALSE)</f>
        <v>15932</v>
      </c>
      <c r="D50" s="9">
        <f>VLOOKUP(B50,'ER Contributions'!A:D,3,FALSE)</f>
        <v>7.1549999999999999E-4</v>
      </c>
      <c r="E50" s="8">
        <f>VLOOKUP(B50,'75 - Summary Exhibit'!A:N,3,FALSE)</f>
        <v>-23559</v>
      </c>
      <c r="F50" s="10">
        <f>VLOOKUP(B50,'75 - Summary Exhibit'!A:N,4,FALSE)</f>
        <v>9498</v>
      </c>
      <c r="G50" s="10">
        <f>VLOOKUP(B50,'75 - Summary Exhibit'!A:N,5,FALSE)</f>
        <v>18495</v>
      </c>
      <c r="H50" s="10">
        <f>VLOOKUP(B50,'75 - Summary Exhibit'!A:N,6,FALSE)</f>
        <v>351</v>
      </c>
      <c r="I50" s="8">
        <f>VLOOKUP(B50,'75 - Summary Exhibit'!A:N,7,FALSE)</f>
        <v>4548</v>
      </c>
      <c r="J50" s="8">
        <f>VLOOKUP(B50,'75 - Summary Exhibit'!A:N,8,FALSE)</f>
        <v>27097</v>
      </c>
      <c r="K50" s="8">
        <f>VLOOKUP(B50,'75 - Summary Exhibit'!A:N,9,FALSE)</f>
        <v>0</v>
      </c>
      <c r="L50" s="8">
        <f>VLOOKUP(B50,'75 - Summary Exhibit'!A:N,10,FALSE)</f>
        <v>10976</v>
      </c>
      <c r="M50" s="8">
        <f>VLOOKUP(B50,'75 - Summary Exhibit'!A:N,11,FALSE)</f>
        <v>829</v>
      </c>
      <c r="N50" s="8">
        <f>VLOOKUP(B50,'75 - Summary Exhibit'!A:N,12,FALSE)</f>
        <v>12568</v>
      </c>
      <c r="O50" s="8">
        <f>VLOOKUP(B50,'75 - Summary Exhibit'!A:N,13,FALSE)</f>
        <v>1694</v>
      </c>
      <c r="P50" s="8">
        <f t="shared" si="13"/>
        <v>14262</v>
      </c>
      <c r="Q50" s="8">
        <f>VLOOKUP(B50,'75- Deferred Amortization'!A:H,3,FALSE)</f>
        <v>-7889</v>
      </c>
      <c r="R50" s="8">
        <f>VLOOKUP(B50,'75- Deferred Amortization'!A:H,4,FALSE)</f>
        <v>-5178</v>
      </c>
      <c r="S50" s="8">
        <f>VLOOKUP(B50,'75- Deferred Amortization'!A:H,5,FALSE)</f>
        <v>4419</v>
      </c>
      <c r="T50" s="8">
        <f>VLOOKUP(B50,'75- Deferred Amortization'!A:H,6,FALSE)</f>
        <v>1776</v>
      </c>
      <c r="U50" s="8">
        <f>VLOOKUP(B50,'75- Deferred Amortization'!A:H,7,FALSE)</f>
        <v>863</v>
      </c>
      <c r="V50" s="8">
        <f>VLOOKUP(B50,'75- Deferred Amortization'!A:H,8,FALSE)</f>
        <v>0</v>
      </c>
      <c r="X50">
        <v>2</v>
      </c>
      <c r="Y50" s="8">
        <f t="shared" si="14"/>
        <v>-1</v>
      </c>
      <c r="Z50" s="8">
        <f t="shared" si="15"/>
        <v>-1</v>
      </c>
      <c r="AB50" s="8">
        <f>'NOPEB asset change'!F49</f>
        <v>-19601</v>
      </c>
      <c r="AC50" s="8">
        <v>19601</v>
      </c>
      <c r="AD50" s="10">
        <v>17178</v>
      </c>
      <c r="AE50" s="10">
        <v>25602</v>
      </c>
      <c r="AF50" s="10">
        <v>1428</v>
      </c>
      <c r="AG50" s="8">
        <v>6421</v>
      </c>
      <c r="AH50" s="8">
        <v>10857</v>
      </c>
      <c r="AI50" s="8">
        <v>0</v>
      </c>
      <c r="AJ50" s="8">
        <v>3346</v>
      </c>
      <c r="AK50" s="8">
        <v>945</v>
      </c>
      <c r="AM50" s="8">
        <f t="shared" si="11"/>
        <v>-1873</v>
      </c>
      <c r="AN50" s="8">
        <f t="shared" si="16"/>
        <v>-116</v>
      </c>
      <c r="AO50" s="10">
        <f t="shared" si="17"/>
        <v>-7680</v>
      </c>
      <c r="AP50" s="8">
        <f t="shared" si="18"/>
        <v>16240</v>
      </c>
      <c r="AQ50" s="10">
        <f t="shared" si="19"/>
        <v>-1077</v>
      </c>
      <c r="AR50" s="8">
        <f t="shared" si="20"/>
        <v>7630</v>
      </c>
      <c r="AS50" s="8">
        <f t="shared" si="21"/>
        <v>-43160</v>
      </c>
      <c r="AT50" s="10">
        <f t="shared" si="22"/>
        <v>-7107</v>
      </c>
      <c r="AU50" s="8">
        <f t="shared" si="23"/>
        <v>0</v>
      </c>
      <c r="AV50" s="8">
        <f t="shared" si="12"/>
        <v>-23559</v>
      </c>
    </row>
    <row r="51" spans="1:48" x14ac:dyDescent="0.25">
      <c r="A51" t="s">
        <v>85</v>
      </c>
      <c r="B51">
        <v>35805</v>
      </c>
      <c r="C51" s="8">
        <f>VLOOKUP(B51,'ER Contributions'!A:D,4,FALSE)</f>
        <v>5492</v>
      </c>
      <c r="D51" s="9">
        <f>VLOOKUP(B51,'ER Contributions'!A:D,3,FALSE)</f>
        <v>1.9780000000000001E-4</v>
      </c>
      <c r="E51" s="8">
        <f>VLOOKUP(B51,'75 - Summary Exhibit'!A:N,3,FALSE)</f>
        <v>-6513</v>
      </c>
      <c r="F51" s="10">
        <f>VLOOKUP(B51,'75 - Summary Exhibit'!A:N,4,FALSE)</f>
        <v>2626</v>
      </c>
      <c r="G51" s="10">
        <f>VLOOKUP(B51,'75 - Summary Exhibit'!A:N,5,FALSE)</f>
        <v>5113</v>
      </c>
      <c r="H51" s="10">
        <f>VLOOKUP(B51,'75 - Summary Exhibit'!A:N,6,FALSE)</f>
        <v>97</v>
      </c>
      <c r="I51" s="8">
        <f>VLOOKUP(B51,'75 - Summary Exhibit'!A:N,7,FALSE)</f>
        <v>2721</v>
      </c>
      <c r="J51" s="8">
        <f>VLOOKUP(B51,'75 - Summary Exhibit'!A:N,8,FALSE)</f>
        <v>7491</v>
      </c>
      <c r="K51" s="8">
        <f>VLOOKUP(B51,'75 - Summary Exhibit'!A:N,9,FALSE)</f>
        <v>0</v>
      </c>
      <c r="L51" s="8">
        <f>VLOOKUP(B51,'75 - Summary Exhibit'!A:N,10,FALSE)</f>
        <v>3034</v>
      </c>
      <c r="M51" s="8">
        <f>VLOOKUP(B51,'75 - Summary Exhibit'!A:N,11,FALSE)</f>
        <v>390</v>
      </c>
      <c r="N51" s="8">
        <f>VLOOKUP(B51,'75 - Summary Exhibit'!A:N,12,FALSE)</f>
        <v>3474</v>
      </c>
      <c r="O51" s="8">
        <f>VLOOKUP(B51,'75 - Summary Exhibit'!A:N,13,FALSE)</f>
        <v>1329</v>
      </c>
      <c r="P51" s="8">
        <f t="shared" si="13"/>
        <v>4803</v>
      </c>
      <c r="Q51" s="8">
        <f>VLOOKUP(B51,'75- Deferred Amortization'!A:H,3,FALSE)</f>
        <v>-1410</v>
      </c>
      <c r="R51" s="8">
        <f>VLOOKUP(B51,'75- Deferred Amortization'!A:H,4,FALSE)</f>
        <v>-1116</v>
      </c>
      <c r="S51" s="8">
        <f>VLOOKUP(B51,'75- Deferred Amortization'!A:H,5,FALSE)</f>
        <v>1247</v>
      </c>
      <c r="T51" s="8">
        <f>VLOOKUP(B51,'75- Deferred Amortization'!A:H,6,FALSE)</f>
        <v>641</v>
      </c>
      <c r="U51" s="8">
        <f>VLOOKUP(B51,'75- Deferred Amortization'!A:H,7,FALSE)</f>
        <v>280</v>
      </c>
      <c r="V51" s="8">
        <f>VLOOKUP(B51,'75- Deferred Amortization'!A:H,8,FALSE)</f>
        <v>0</v>
      </c>
      <c r="X51">
        <v>2</v>
      </c>
      <c r="Y51" s="8">
        <f t="shared" si="14"/>
        <v>1</v>
      </c>
      <c r="Z51" s="8">
        <f t="shared" si="15"/>
        <v>0</v>
      </c>
      <c r="AB51" s="8">
        <f>'NOPEB asset change'!F50</f>
        <v>-5027</v>
      </c>
      <c r="AC51" s="8">
        <v>5027</v>
      </c>
      <c r="AD51" s="10">
        <v>4405</v>
      </c>
      <c r="AE51" s="10">
        <v>6565</v>
      </c>
      <c r="AF51" s="10">
        <v>366</v>
      </c>
      <c r="AG51" s="8">
        <v>3318</v>
      </c>
      <c r="AH51" s="8">
        <v>2784</v>
      </c>
      <c r="AI51" s="8">
        <v>0</v>
      </c>
      <c r="AJ51" s="8">
        <v>858</v>
      </c>
      <c r="AK51" s="8">
        <v>520</v>
      </c>
      <c r="AM51" s="8">
        <f t="shared" si="11"/>
        <v>-597</v>
      </c>
      <c r="AN51" s="8">
        <f t="shared" si="16"/>
        <v>-130</v>
      </c>
      <c r="AO51" s="10">
        <f t="shared" si="17"/>
        <v>-1779</v>
      </c>
      <c r="AP51" s="8">
        <f t="shared" si="18"/>
        <v>4707</v>
      </c>
      <c r="AQ51" s="10">
        <f t="shared" si="19"/>
        <v>-269</v>
      </c>
      <c r="AR51" s="8">
        <f t="shared" si="20"/>
        <v>2176</v>
      </c>
      <c r="AS51" s="8">
        <f t="shared" si="21"/>
        <v>-11540</v>
      </c>
      <c r="AT51" s="10">
        <f t="shared" si="22"/>
        <v>-1452</v>
      </c>
      <c r="AU51" s="8">
        <f t="shared" si="23"/>
        <v>0</v>
      </c>
      <c r="AV51" s="8">
        <f t="shared" si="12"/>
        <v>-6513</v>
      </c>
    </row>
    <row r="52" spans="1:48" x14ac:dyDescent="0.25">
      <c r="A52" t="s">
        <v>88</v>
      </c>
      <c r="B52">
        <v>36105</v>
      </c>
      <c r="C52" s="8">
        <f>VLOOKUP(B52,'ER Contributions'!A:D,4,FALSE)</f>
        <v>6900</v>
      </c>
      <c r="D52" s="9">
        <f>VLOOKUP(B52,'ER Contributions'!A:D,3,FALSE)</f>
        <v>2.5609999999999999E-4</v>
      </c>
      <c r="E52" s="8">
        <f>VLOOKUP(B52,'75 - Summary Exhibit'!A:N,3,FALSE)</f>
        <v>-8432</v>
      </c>
      <c r="F52" s="10">
        <f>VLOOKUP(B52,'75 - Summary Exhibit'!A:N,4,FALSE)</f>
        <v>3399</v>
      </c>
      <c r="G52" s="10">
        <f>VLOOKUP(B52,'75 - Summary Exhibit'!A:N,5,FALSE)</f>
        <v>6620</v>
      </c>
      <c r="H52" s="10">
        <f>VLOOKUP(B52,'75 - Summary Exhibit'!A:N,6,FALSE)</f>
        <v>126</v>
      </c>
      <c r="I52" s="8">
        <f>VLOOKUP(B52,'75 - Summary Exhibit'!A:N,7,FALSE)</f>
        <v>4514</v>
      </c>
      <c r="J52" s="8">
        <f>VLOOKUP(B52,'75 - Summary Exhibit'!A:N,8,FALSE)</f>
        <v>9699</v>
      </c>
      <c r="K52" s="8">
        <f>VLOOKUP(B52,'75 - Summary Exhibit'!A:N,9,FALSE)</f>
        <v>0</v>
      </c>
      <c r="L52" s="8">
        <f>VLOOKUP(B52,'75 - Summary Exhibit'!A:N,10,FALSE)</f>
        <v>3929</v>
      </c>
      <c r="M52" s="8">
        <f>VLOOKUP(B52,'75 - Summary Exhibit'!A:N,11,FALSE)</f>
        <v>0</v>
      </c>
      <c r="N52" s="8">
        <f>VLOOKUP(B52,'75 - Summary Exhibit'!A:N,12,FALSE)</f>
        <v>4498</v>
      </c>
      <c r="O52" s="8">
        <f>VLOOKUP(B52,'75 - Summary Exhibit'!A:N,13,FALSE)</f>
        <v>1933</v>
      </c>
      <c r="P52" s="8">
        <f t="shared" si="13"/>
        <v>6431</v>
      </c>
      <c r="Q52" s="8">
        <f>VLOOKUP(B52,'75- Deferred Amortization'!A:H,3,FALSE)</f>
        <v>-1673</v>
      </c>
      <c r="R52" s="8">
        <f>VLOOKUP(B52,'75- Deferred Amortization'!A:H,4,FALSE)</f>
        <v>-825</v>
      </c>
      <c r="S52" s="8">
        <f>VLOOKUP(B52,'75- Deferred Amortization'!A:H,5,FALSE)</f>
        <v>2150</v>
      </c>
      <c r="T52" s="8">
        <f>VLOOKUP(B52,'75- Deferred Amortization'!A:H,6,FALSE)</f>
        <v>801</v>
      </c>
      <c r="U52" s="8">
        <f>VLOOKUP(B52,'75- Deferred Amortization'!A:H,7,FALSE)</f>
        <v>579</v>
      </c>
      <c r="V52" s="8">
        <f>VLOOKUP(B52,'75- Deferred Amortization'!A:H,8,FALSE)</f>
        <v>0</v>
      </c>
      <c r="X52">
        <v>2</v>
      </c>
      <c r="Y52" s="8">
        <f t="shared" si="14"/>
        <v>-2</v>
      </c>
      <c r="Z52" s="8">
        <f t="shared" si="15"/>
        <v>-1</v>
      </c>
      <c r="AB52" s="8">
        <f>'NOPEB asset change'!F51</f>
        <v>-7394</v>
      </c>
      <c r="AC52" s="8">
        <v>7394</v>
      </c>
      <c r="AD52" s="10">
        <v>6480</v>
      </c>
      <c r="AE52" s="10">
        <v>9657</v>
      </c>
      <c r="AF52" s="10">
        <v>539</v>
      </c>
      <c r="AG52" s="8">
        <v>5071</v>
      </c>
      <c r="AH52" s="8">
        <v>4095</v>
      </c>
      <c r="AI52" s="8">
        <v>0</v>
      </c>
      <c r="AJ52" s="8">
        <v>1262</v>
      </c>
      <c r="AK52" s="8">
        <v>0</v>
      </c>
      <c r="AM52" s="8">
        <f t="shared" si="11"/>
        <v>-557</v>
      </c>
      <c r="AN52" s="8">
        <f t="shared" si="16"/>
        <v>0</v>
      </c>
      <c r="AO52" s="10">
        <f t="shared" si="17"/>
        <v>-3081</v>
      </c>
      <c r="AP52" s="8">
        <f t="shared" si="18"/>
        <v>5604</v>
      </c>
      <c r="AQ52" s="10">
        <f t="shared" si="19"/>
        <v>-413</v>
      </c>
      <c r="AR52" s="8">
        <f t="shared" si="20"/>
        <v>2667</v>
      </c>
      <c r="AS52" s="8">
        <f t="shared" si="21"/>
        <v>-15826</v>
      </c>
      <c r="AT52" s="10">
        <f t="shared" si="22"/>
        <v>-3037</v>
      </c>
      <c r="AU52" s="8">
        <f t="shared" si="23"/>
        <v>0</v>
      </c>
      <c r="AV52" s="8">
        <f t="shared" si="12"/>
        <v>-8432</v>
      </c>
    </row>
    <row r="53" spans="1:48" x14ac:dyDescent="0.25">
      <c r="A53" t="s">
        <v>86</v>
      </c>
      <c r="B53">
        <v>35905</v>
      </c>
      <c r="C53" s="8">
        <f>VLOOKUP(B53,'ER Contributions'!A:D,4,FALSE)</f>
        <v>7678</v>
      </c>
      <c r="D53" s="9">
        <f>VLOOKUP(B53,'ER Contributions'!A:D,3,FALSE)</f>
        <v>2.9639999999999999E-4</v>
      </c>
      <c r="E53" s="8">
        <f>VLOOKUP(B53,'75 - Summary Exhibit'!A:N,3,FALSE)</f>
        <v>-9759</v>
      </c>
      <c r="F53" s="10">
        <f>VLOOKUP(B53,'75 - Summary Exhibit'!A:N,4,FALSE)</f>
        <v>3934</v>
      </c>
      <c r="G53" s="10">
        <f>VLOOKUP(B53,'75 - Summary Exhibit'!A:N,5,FALSE)</f>
        <v>7662</v>
      </c>
      <c r="H53" s="10">
        <f>VLOOKUP(B53,'75 - Summary Exhibit'!A:N,6,FALSE)</f>
        <v>146</v>
      </c>
      <c r="I53" s="8">
        <f>VLOOKUP(B53,'75 - Summary Exhibit'!A:N,7,FALSE)</f>
        <v>3766</v>
      </c>
      <c r="J53" s="8">
        <f>VLOOKUP(B53,'75 - Summary Exhibit'!A:N,8,FALSE)</f>
        <v>11225</v>
      </c>
      <c r="K53" s="8">
        <f>VLOOKUP(B53,'75 - Summary Exhibit'!A:N,9,FALSE)</f>
        <v>0</v>
      </c>
      <c r="L53" s="8">
        <f>VLOOKUP(B53,'75 - Summary Exhibit'!A:N,10,FALSE)</f>
        <v>4547</v>
      </c>
      <c r="M53" s="8">
        <f>VLOOKUP(B53,'75 - Summary Exhibit'!A:N,11,FALSE)</f>
        <v>179</v>
      </c>
      <c r="N53" s="8">
        <f>VLOOKUP(B53,'75 - Summary Exhibit'!A:N,12,FALSE)</f>
        <v>5206</v>
      </c>
      <c r="O53" s="8">
        <f>VLOOKUP(B53,'75 - Summary Exhibit'!A:N,13,FALSE)</f>
        <v>1787</v>
      </c>
      <c r="P53" s="8">
        <f t="shared" si="13"/>
        <v>6993</v>
      </c>
      <c r="Q53" s="8">
        <f>VLOOKUP(B53,'75- Deferred Amortization'!A:H,3,FALSE)</f>
        <v>-2786</v>
      </c>
      <c r="R53" s="8">
        <f>VLOOKUP(B53,'75- Deferred Amortization'!A:H,4,FALSE)</f>
        <v>-1421</v>
      </c>
      <c r="S53" s="8">
        <f>VLOOKUP(B53,'75- Deferred Amortization'!A:H,5,FALSE)</f>
        <v>2258</v>
      </c>
      <c r="T53" s="8">
        <f>VLOOKUP(B53,'75- Deferred Amortization'!A:H,6,FALSE)</f>
        <v>1020</v>
      </c>
      <c r="U53" s="8">
        <f>VLOOKUP(B53,'75- Deferred Amortization'!A:H,7,FALSE)</f>
        <v>486</v>
      </c>
      <c r="V53" s="8">
        <f>VLOOKUP(B53,'75- Deferred Amortization'!A:H,8,FALSE)</f>
        <v>0</v>
      </c>
      <c r="X53">
        <v>2</v>
      </c>
      <c r="Y53" s="8">
        <f t="shared" si="14"/>
        <v>0</v>
      </c>
      <c r="Z53" s="8">
        <f t="shared" si="15"/>
        <v>0</v>
      </c>
      <c r="AB53" s="8">
        <f>'NOPEB asset change'!F52</f>
        <v>-7761</v>
      </c>
      <c r="AC53" s="8">
        <v>7761</v>
      </c>
      <c r="AD53" s="10">
        <v>6801</v>
      </c>
      <c r="AE53" s="10">
        <v>10137</v>
      </c>
      <c r="AF53" s="10">
        <v>566</v>
      </c>
      <c r="AG53" s="8">
        <v>4871</v>
      </c>
      <c r="AH53" s="8">
        <v>4299</v>
      </c>
      <c r="AI53" s="8">
        <v>0</v>
      </c>
      <c r="AJ53" s="8">
        <v>1325</v>
      </c>
      <c r="AK53" s="8">
        <v>359</v>
      </c>
      <c r="AM53" s="8">
        <f t="shared" si="11"/>
        <v>-1105</v>
      </c>
      <c r="AN53" s="8">
        <f t="shared" si="16"/>
        <v>-180</v>
      </c>
      <c r="AO53" s="10">
        <f t="shared" si="17"/>
        <v>-2867</v>
      </c>
      <c r="AP53" s="8">
        <f t="shared" si="18"/>
        <v>6926</v>
      </c>
      <c r="AQ53" s="10">
        <f t="shared" si="19"/>
        <v>-420</v>
      </c>
      <c r="AR53" s="8">
        <f t="shared" si="20"/>
        <v>3222</v>
      </c>
      <c r="AS53" s="8">
        <f t="shared" si="21"/>
        <v>-17520</v>
      </c>
      <c r="AT53" s="10">
        <f t="shared" si="22"/>
        <v>-2475</v>
      </c>
      <c r="AU53" s="8">
        <f t="shared" si="23"/>
        <v>0</v>
      </c>
      <c r="AV53" s="8">
        <f t="shared" si="12"/>
        <v>-9759</v>
      </c>
    </row>
    <row r="54" spans="1:48" x14ac:dyDescent="0.25">
      <c r="A54" t="s">
        <v>80</v>
      </c>
      <c r="B54">
        <v>34905</v>
      </c>
      <c r="C54" s="8">
        <f>VLOOKUP(B54,'ER Contributions'!A:D,4,FALSE)</f>
        <v>13464</v>
      </c>
      <c r="D54" s="9">
        <f>VLOOKUP(B54,'ER Contributions'!A:D,3,FALSE)</f>
        <v>5.3010000000000004E-4</v>
      </c>
      <c r="E54" s="8">
        <f>VLOOKUP(B54,'75 - Summary Exhibit'!A:N,3,FALSE)</f>
        <v>-17454</v>
      </c>
      <c r="F54" s="10">
        <f>VLOOKUP(B54,'75 - Summary Exhibit'!A:N,4,FALSE)</f>
        <v>7037</v>
      </c>
      <c r="G54" s="10">
        <f>VLOOKUP(B54,'75 - Summary Exhibit'!A:N,5,FALSE)</f>
        <v>13703</v>
      </c>
      <c r="H54" s="10">
        <f>VLOOKUP(B54,'75 - Summary Exhibit'!A:N,6,FALSE)</f>
        <v>260</v>
      </c>
      <c r="I54" s="8">
        <f>VLOOKUP(B54,'75 - Summary Exhibit'!A:N,7,FALSE)</f>
        <v>4259</v>
      </c>
      <c r="J54" s="8">
        <f>VLOOKUP(B54,'75 - Summary Exhibit'!A:N,8,FALSE)</f>
        <v>20076</v>
      </c>
      <c r="K54" s="8">
        <f>VLOOKUP(B54,'75 - Summary Exhibit'!A:N,9,FALSE)</f>
        <v>0</v>
      </c>
      <c r="L54" s="8">
        <f>VLOOKUP(B54,'75 - Summary Exhibit'!A:N,10,FALSE)</f>
        <v>8132</v>
      </c>
      <c r="M54" s="8">
        <f>VLOOKUP(B54,'75 - Summary Exhibit'!A:N,11,FALSE)</f>
        <v>0</v>
      </c>
      <c r="N54" s="8">
        <f>VLOOKUP(B54,'75 - Summary Exhibit'!A:N,12,FALSE)</f>
        <v>9311</v>
      </c>
      <c r="O54" s="8">
        <f>VLOOKUP(B54,'75 - Summary Exhibit'!A:N,13,FALSE)</f>
        <v>1974</v>
      </c>
      <c r="P54" s="8">
        <f t="shared" si="13"/>
        <v>11285</v>
      </c>
      <c r="Q54" s="8">
        <f>VLOOKUP(B54,'75- Deferred Amortization'!A:H,3,FALSE)</f>
        <v>-5257</v>
      </c>
      <c r="R54" s="8">
        <f>VLOOKUP(B54,'75- Deferred Amortization'!A:H,4,FALSE)</f>
        <v>-3206</v>
      </c>
      <c r="S54" s="8">
        <f>VLOOKUP(B54,'75- Deferred Amortization'!A:H,5,FALSE)</f>
        <v>3279</v>
      </c>
      <c r="T54" s="8">
        <f>VLOOKUP(B54,'75- Deferred Amortization'!A:H,6,FALSE)</f>
        <v>1340</v>
      </c>
      <c r="U54" s="8">
        <f>VLOOKUP(B54,'75- Deferred Amortization'!A:H,7,FALSE)</f>
        <v>895</v>
      </c>
      <c r="V54" s="8">
        <f>VLOOKUP(B54,'75- Deferred Amortization'!A:H,8,FALSE)</f>
        <v>0</v>
      </c>
      <c r="X54">
        <v>2</v>
      </c>
      <c r="Y54" s="8">
        <f t="shared" si="14"/>
        <v>1</v>
      </c>
      <c r="Z54" s="8">
        <f t="shared" si="15"/>
        <v>0</v>
      </c>
      <c r="AB54" s="8">
        <f>'NOPEB asset change'!F53</f>
        <v>-14920</v>
      </c>
      <c r="AC54" s="8">
        <v>14920</v>
      </c>
      <c r="AD54" s="10">
        <v>13076</v>
      </c>
      <c r="AE54" s="10">
        <v>19488</v>
      </c>
      <c r="AF54" s="10">
        <v>1087</v>
      </c>
      <c r="AG54" s="8">
        <v>4405</v>
      </c>
      <c r="AH54" s="8">
        <v>8264</v>
      </c>
      <c r="AI54" s="8">
        <v>0</v>
      </c>
      <c r="AJ54" s="8">
        <v>2547</v>
      </c>
      <c r="AK54" s="8">
        <v>0</v>
      </c>
      <c r="AM54" s="8">
        <f t="shared" si="11"/>
        <v>-146</v>
      </c>
      <c r="AN54" s="8">
        <f t="shared" si="16"/>
        <v>0</v>
      </c>
      <c r="AO54" s="10">
        <f t="shared" si="17"/>
        <v>-6039</v>
      </c>
      <c r="AP54" s="8">
        <f t="shared" si="18"/>
        <v>11812</v>
      </c>
      <c r="AQ54" s="10">
        <f t="shared" si="19"/>
        <v>-827</v>
      </c>
      <c r="AR54" s="8">
        <f t="shared" si="20"/>
        <v>5585</v>
      </c>
      <c r="AS54" s="8">
        <f t="shared" si="21"/>
        <v>-32374</v>
      </c>
      <c r="AT54" s="10">
        <f t="shared" si="22"/>
        <v>-5785</v>
      </c>
      <c r="AU54" s="8">
        <f t="shared" si="23"/>
        <v>0</v>
      </c>
      <c r="AV54" s="8">
        <f t="shared" si="12"/>
        <v>-17454</v>
      </c>
    </row>
    <row r="55" spans="1:48" x14ac:dyDescent="0.25">
      <c r="A55" t="s">
        <v>89</v>
      </c>
      <c r="B55">
        <v>36205</v>
      </c>
      <c r="C55" s="8">
        <f>VLOOKUP(B55,'ER Contributions'!A:D,4,FALSE)</f>
        <v>6211</v>
      </c>
      <c r="D55" s="9">
        <f>VLOOKUP(B55,'ER Contributions'!A:D,3,FALSE)</f>
        <v>2.7020000000000001E-4</v>
      </c>
      <c r="E55" s="8">
        <f>VLOOKUP(B55,'75 - Summary Exhibit'!A:N,3,FALSE)</f>
        <v>-8897</v>
      </c>
      <c r="F55" s="10">
        <f>VLOOKUP(B55,'75 - Summary Exhibit'!A:N,4,FALSE)</f>
        <v>3587</v>
      </c>
      <c r="G55" s="10">
        <f>VLOOKUP(B55,'75 - Summary Exhibit'!A:N,5,FALSE)</f>
        <v>6984</v>
      </c>
      <c r="H55" s="10">
        <f>VLOOKUP(B55,'75 - Summary Exhibit'!A:N,6,FALSE)</f>
        <v>133</v>
      </c>
      <c r="I55" s="8">
        <f>VLOOKUP(B55,'75 - Summary Exhibit'!A:N,7,FALSE)</f>
        <v>238</v>
      </c>
      <c r="J55" s="8">
        <f>VLOOKUP(B55,'75 - Summary Exhibit'!A:N,8,FALSE)</f>
        <v>10233</v>
      </c>
      <c r="K55" s="8">
        <f>VLOOKUP(B55,'75 - Summary Exhibit'!A:N,9,FALSE)</f>
        <v>0</v>
      </c>
      <c r="L55" s="8">
        <f>VLOOKUP(B55,'75 - Summary Exhibit'!A:N,10,FALSE)</f>
        <v>4145</v>
      </c>
      <c r="M55" s="8">
        <f>VLOOKUP(B55,'75 - Summary Exhibit'!A:N,11,FALSE)</f>
        <v>923</v>
      </c>
      <c r="N55" s="8">
        <f>VLOOKUP(B55,'75 - Summary Exhibit'!A:N,12,FALSE)</f>
        <v>4746</v>
      </c>
      <c r="O55" s="8">
        <f>VLOOKUP(B55,'75 - Summary Exhibit'!A:N,13,FALSE)</f>
        <v>-303</v>
      </c>
      <c r="P55" s="8">
        <f t="shared" si="13"/>
        <v>4443</v>
      </c>
      <c r="Q55" s="8">
        <f>VLOOKUP(B55,'75- Deferred Amortization'!A:H,3,FALSE)</f>
        <v>-3677</v>
      </c>
      <c r="R55" s="8">
        <f>VLOOKUP(B55,'75- Deferred Amortization'!A:H,4,FALSE)</f>
        <v>-2672</v>
      </c>
      <c r="S55" s="8">
        <f>VLOOKUP(B55,'75- Deferred Amortization'!A:H,5,FALSE)</f>
        <v>1014</v>
      </c>
      <c r="T55" s="8">
        <f>VLOOKUP(B55,'75- Deferred Amortization'!A:H,6,FALSE)</f>
        <v>558</v>
      </c>
      <c r="U55" s="8">
        <f>VLOOKUP(B55,'75- Deferred Amortization'!A:H,7,FALSE)</f>
        <v>420</v>
      </c>
      <c r="V55" s="8">
        <f>VLOOKUP(B55,'75- Deferred Amortization'!A:H,8,FALSE)</f>
        <v>0</v>
      </c>
      <c r="X55">
        <v>2</v>
      </c>
      <c r="Y55" s="8">
        <f t="shared" si="14"/>
        <v>0</v>
      </c>
      <c r="Z55" s="8">
        <f t="shared" si="15"/>
        <v>-2</v>
      </c>
      <c r="AB55" s="8">
        <f>'NOPEB asset change'!F54</f>
        <v>-6681</v>
      </c>
      <c r="AC55" s="8">
        <v>6681</v>
      </c>
      <c r="AD55" s="10">
        <v>5855</v>
      </c>
      <c r="AE55" s="10">
        <v>8726</v>
      </c>
      <c r="AF55" s="10">
        <v>487</v>
      </c>
      <c r="AG55" s="8">
        <v>345</v>
      </c>
      <c r="AH55" s="8">
        <v>3700</v>
      </c>
      <c r="AI55" s="8">
        <v>0</v>
      </c>
      <c r="AJ55" s="8">
        <v>1140</v>
      </c>
      <c r="AK55" s="8">
        <v>1122</v>
      </c>
      <c r="AM55" s="8">
        <f t="shared" si="11"/>
        <v>-107</v>
      </c>
      <c r="AN55" s="8">
        <f t="shared" si="16"/>
        <v>-199</v>
      </c>
      <c r="AO55" s="10">
        <f t="shared" si="17"/>
        <v>-2268</v>
      </c>
      <c r="AP55" s="8">
        <f t="shared" si="18"/>
        <v>6533</v>
      </c>
      <c r="AQ55" s="10">
        <f t="shared" si="19"/>
        <v>-354</v>
      </c>
      <c r="AR55" s="8">
        <f t="shared" si="20"/>
        <v>3005</v>
      </c>
      <c r="AS55" s="8">
        <f t="shared" si="21"/>
        <v>-15578</v>
      </c>
      <c r="AT55" s="10">
        <f t="shared" si="22"/>
        <v>-1742</v>
      </c>
      <c r="AU55" s="8">
        <f t="shared" si="23"/>
        <v>0</v>
      </c>
      <c r="AV55" s="8">
        <f t="shared" si="12"/>
        <v>-8897</v>
      </c>
    </row>
    <row r="56" spans="1:48" x14ac:dyDescent="0.25">
      <c r="A56" t="s">
        <v>91</v>
      </c>
      <c r="B56">
        <v>36405</v>
      </c>
      <c r="C56" s="8">
        <f>VLOOKUP(B56,'ER Contributions'!A:D,4,FALSE)</f>
        <v>14534</v>
      </c>
      <c r="D56" s="9">
        <f>VLOOKUP(B56,'ER Contributions'!A:D,3,FALSE)</f>
        <v>5.6570000000000004E-4</v>
      </c>
      <c r="E56" s="8">
        <f>VLOOKUP(B56,'75 - Summary Exhibit'!A:N,3,FALSE)</f>
        <v>-18626</v>
      </c>
      <c r="F56" s="10">
        <f>VLOOKUP(B56,'75 - Summary Exhibit'!A:N,4,FALSE)</f>
        <v>7509</v>
      </c>
      <c r="G56" s="10">
        <f>VLOOKUP(B56,'75 - Summary Exhibit'!A:N,5,FALSE)</f>
        <v>14623</v>
      </c>
      <c r="H56" s="10">
        <f>VLOOKUP(B56,'75 - Summary Exhibit'!A:N,6,FALSE)</f>
        <v>278</v>
      </c>
      <c r="I56" s="8">
        <f>VLOOKUP(B56,'75 - Summary Exhibit'!A:N,7,FALSE)</f>
        <v>7406</v>
      </c>
      <c r="J56" s="8">
        <f>VLOOKUP(B56,'75 - Summary Exhibit'!A:N,8,FALSE)</f>
        <v>21424</v>
      </c>
      <c r="K56" s="8">
        <f>VLOOKUP(B56,'75 - Summary Exhibit'!A:N,9,FALSE)</f>
        <v>0</v>
      </c>
      <c r="L56" s="8">
        <f>VLOOKUP(B56,'75 - Summary Exhibit'!A:N,10,FALSE)</f>
        <v>8678</v>
      </c>
      <c r="M56" s="8">
        <f>VLOOKUP(B56,'75 - Summary Exhibit'!A:N,11,FALSE)</f>
        <v>0</v>
      </c>
      <c r="N56" s="8">
        <f>VLOOKUP(B56,'75 - Summary Exhibit'!A:N,12,FALSE)</f>
        <v>9937</v>
      </c>
      <c r="O56" s="8">
        <f>VLOOKUP(B56,'75 - Summary Exhibit'!A:N,13,FALSE)</f>
        <v>3687</v>
      </c>
      <c r="P56" s="8">
        <f t="shared" si="13"/>
        <v>13624</v>
      </c>
      <c r="Q56" s="8">
        <f>VLOOKUP(B56,'75- Deferred Amortization'!A:H,3,FALSE)</f>
        <v>-4461</v>
      </c>
      <c r="R56" s="8">
        <f>VLOOKUP(B56,'75- Deferred Amortization'!A:H,4,FALSE)</f>
        <v>-2782</v>
      </c>
      <c r="S56" s="8">
        <f>VLOOKUP(B56,'75- Deferred Amortization'!A:H,5,FALSE)</f>
        <v>3962</v>
      </c>
      <c r="T56" s="8">
        <f>VLOOKUP(B56,'75- Deferred Amortization'!A:H,6,FALSE)</f>
        <v>1808</v>
      </c>
      <c r="U56" s="8">
        <f>VLOOKUP(B56,'75- Deferred Amortization'!A:H,7,FALSE)</f>
        <v>1187</v>
      </c>
      <c r="V56" s="8">
        <f>VLOOKUP(B56,'75- Deferred Amortization'!A:H,8,FALSE)</f>
        <v>0</v>
      </c>
      <c r="X56">
        <v>2</v>
      </c>
      <c r="Y56" s="8">
        <f t="shared" si="14"/>
        <v>1</v>
      </c>
      <c r="Z56" s="8">
        <f t="shared" si="15"/>
        <v>0</v>
      </c>
      <c r="AB56" s="8">
        <f>'NOPEB asset change'!F55</f>
        <v>-16638</v>
      </c>
      <c r="AC56" s="8">
        <v>16638</v>
      </c>
      <c r="AD56" s="10">
        <v>14581</v>
      </c>
      <c r="AE56" s="10">
        <v>21732</v>
      </c>
      <c r="AF56" s="10">
        <v>1212</v>
      </c>
      <c r="AG56" s="8">
        <v>8598</v>
      </c>
      <c r="AH56" s="8">
        <v>9216</v>
      </c>
      <c r="AI56" s="8">
        <v>0</v>
      </c>
      <c r="AJ56" s="8">
        <v>2840</v>
      </c>
      <c r="AK56" s="8">
        <v>0</v>
      </c>
      <c r="AM56" s="8">
        <f t="shared" si="11"/>
        <v>-1192</v>
      </c>
      <c r="AN56" s="8">
        <f t="shared" si="16"/>
        <v>0</v>
      </c>
      <c r="AO56" s="10">
        <f t="shared" si="17"/>
        <v>-7072</v>
      </c>
      <c r="AP56" s="8">
        <f t="shared" si="18"/>
        <v>12208</v>
      </c>
      <c r="AQ56" s="10">
        <f t="shared" si="19"/>
        <v>-934</v>
      </c>
      <c r="AR56" s="8">
        <f t="shared" si="20"/>
        <v>5838</v>
      </c>
      <c r="AS56" s="8">
        <f t="shared" si="21"/>
        <v>-35264</v>
      </c>
      <c r="AT56" s="10">
        <f t="shared" si="22"/>
        <v>-7109</v>
      </c>
      <c r="AU56" s="8">
        <f t="shared" si="23"/>
        <v>0</v>
      </c>
      <c r="AV56" s="8">
        <f t="shared" si="12"/>
        <v>-18626</v>
      </c>
    </row>
    <row r="57" spans="1:48" x14ac:dyDescent="0.25">
      <c r="A57" t="s">
        <v>94</v>
      </c>
      <c r="B57">
        <v>36905</v>
      </c>
      <c r="C57" s="8">
        <f>VLOOKUP(B57,'ER Contributions'!A:D,4,FALSE)</f>
        <v>4192</v>
      </c>
      <c r="D57" s="9">
        <f>VLOOKUP(B57,'ER Contributions'!A:D,3,FALSE)</f>
        <v>1.5229999999999999E-4</v>
      </c>
      <c r="E57" s="8">
        <f>VLOOKUP(B57,'75 - Summary Exhibit'!A:N,3,FALSE)</f>
        <v>-5015</v>
      </c>
      <c r="F57" s="10">
        <f>VLOOKUP(B57,'75 - Summary Exhibit'!A:N,4,FALSE)</f>
        <v>2022</v>
      </c>
      <c r="G57" s="10">
        <f>VLOOKUP(B57,'75 - Summary Exhibit'!A:N,5,FALSE)</f>
        <v>3937</v>
      </c>
      <c r="H57" s="10">
        <f>VLOOKUP(B57,'75 - Summary Exhibit'!A:N,6,FALSE)</f>
        <v>75</v>
      </c>
      <c r="I57" s="8">
        <f>VLOOKUP(B57,'75 - Summary Exhibit'!A:N,7,FALSE)</f>
        <v>1929</v>
      </c>
      <c r="J57" s="8">
        <f>VLOOKUP(B57,'75 - Summary Exhibit'!A:N,8,FALSE)</f>
        <v>5768</v>
      </c>
      <c r="K57" s="8">
        <f>VLOOKUP(B57,'75 - Summary Exhibit'!A:N,9,FALSE)</f>
        <v>0</v>
      </c>
      <c r="L57" s="8">
        <f>VLOOKUP(B57,'75 - Summary Exhibit'!A:N,10,FALSE)</f>
        <v>2336</v>
      </c>
      <c r="M57" s="8">
        <f>VLOOKUP(B57,'75 - Summary Exhibit'!A:N,11,FALSE)</f>
        <v>49</v>
      </c>
      <c r="N57" s="8">
        <f>VLOOKUP(B57,'75 - Summary Exhibit'!A:N,12,FALSE)</f>
        <v>2675</v>
      </c>
      <c r="O57" s="8">
        <f>VLOOKUP(B57,'75 - Summary Exhibit'!A:N,13,FALSE)</f>
        <v>857</v>
      </c>
      <c r="P57" s="8">
        <f t="shared" si="13"/>
        <v>3532</v>
      </c>
      <c r="Q57" s="8">
        <f>VLOOKUP(B57,'75- Deferred Amortization'!A:H,3,FALSE)</f>
        <v>-1087</v>
      </c>
      <c r="R57" s="8">
        <f>VLOOKUP(B57,'75- Deferred Amortization'!A:H,4,FALSE)</f>
        <v>-728</v>
      </c>
      <c r="S57" s="8">
        <f>VLOOKUP(B57,'75- Deferred Amortization'!A:H,5,FALSE)</f>
        <v>983</v>
      </c>
      <c r="T57" s="8">
        <f>VLOOKUP(B57,'75- Deferred Amortization'!A:H,6,FALSE)</f>
        <v>400</v>
      </c>
      <c r="U57" s="8">
        <f>VLOOKUP(B57,'75- Deferred Amortization'!A:H,7,FALSE)</f>
        <v>241</v>
      </c>
      <c r="V57" s="8">
        <f>VLOOKUP(B57,'75- Deferred Amortization'!A:H,8,FALSE)</f>
        <v>0</v>
      </c>
      <c r="X57">
        <v>2</v>
      </c>
      <c r="Y57" s="8">
        <f t="shared" si="14"/>
        <v>1</v>
      </c>
      <c r="Z57" s="8">
        <f t="shared" si="15"/>
        <v>1</v>
      </c>
      <c r="AB57" s="8">
        <f>'NOPEB asset change'!F56</f>
        <v>-4535</v>
      </c>
      <c r="AC57" s="8">
        <v>4535</v>
      </c>
      <c r="AD57" s="10">
        <v>3974</v>
      </c>
      <c r="AE57" s="10">
        <v>5923</v>
      </c>
      <c r="AF57" s="10">
        <v>330</v>
      </c>
      <c r="AG57" s="8">
        <v>1840</v>
      </c>
      <c r="AH57" s="8">
        <v>2512</v>
      </c>
      <c r="AI57" s="8">
        <v>0</v>
      </c>
      <c r="AJ57" s="8">
        <v>774</v>
      </c>
      <c r="AK57" s="8">
        <v>82</v>
      </c>
      <c r="AM57" s="8">
        <f t="shared" si="11"/>
        <v>89</v>
      </c>
      <c r="AN57" s="8">
        <f t="shared" si="16"/>
        <v>-33</v>
      </c>
      <c r="AO57" s="10">
        <f t="shared" si="17"/>
        <v>-1952</v>
      </c>
      <c r="AP57" s="8">
        <f t="shared" si="18"/>
        <v>3256</v>
      </c>
      <c r="AQ57" s="10">
        <f t="shared" si="19"/>
        <v>-255</v>
      </c>
      <c r="AR57" s="8">
        <f t="shared" si="20"/>
        <v>1562</v>
      </c>
      <c r="AS57" s="8">
        <f t="shared" si="21"/>
        <v>-9550</v>
      </c>
      <c r="AT57" s="10">
        <f t="shared" si="22"/>
        <v>-1986</v>
      </c>
      <c r="AU57" s="8">
        <f t="shared" si="23"/>
        <v>0</v>
      </c>
      <c r="AV57" s="8">
        <f t="shared" si="12"/>
        <v>-5015</v>
      </c>
    </row>
    <row r="58" spans="1:48" x14ac:dyDescent="0.25">
      <c r="A58" t="s">
        <v>96</v>
      </c>
      <c r="B58">
        <v>37305</v>
      </c>
      <c r="C58" s="8">
        <f>VLOOKUP(B58,'ER Contributions'!A:D,4,FALSE)</f>
        <v>9580</v>
      </c>
      <c r="D58" s="9">
        <f>VLOOKUP(B58,'ER Contributions'!A:D,3,FALSE)</f>
        <v>3.6509999999999998E-4</v>
      </c>
      <c r="E58" s="8">
        <f>VLOOKUP(B58,'75 - Summary Exhibit'!A:N,3,FALSE)</f>
        <v>-12021</v>
      </c>
      <c r="F58" s="10">
        <f>VLOOKUP(B58,'75 - Summary Exhibit'!A:N,4,FALSE)</f>
        <v>4846</v>
      </c>
      <c r="G58" s="10">
        <f>VLOOKUP(B58,'75 - Summary Exhibit'!A:N,5,FALSE)</f>
        <v>9437</v>
      </c>
      <c r="H58" s="10">
        <f>VLOOKUP(B58,'75 - Summary Exhibit'!A:N,6,FALSE)</f>
        <v>179</v>
      </c>
      <c r="I58" s="8">
        <f>VLOOKUP(B58,'75 - Summary Exhibit'!A:N,7,FALSE)</f>
        <v>4594</v>
      </c>
      <c r="J58" s="8">
        <f>VLOOKUP(B58,'75 - Summary Exhibit'!A:N,8,FALSE)</f>
        <v>13827</v>
      </c>
      <c r="K58" s="8">
        <f>VLOOKUP(B58,'75 - Summary Exhibit'!A:N,9,FALSE)</f>
        <v>0</v>
      </c>
      <c r="L58" s="8">
        <f>VLOOKUP(B58,'75 - Summary Exhibit'!A:N,10,FALSE)</f>
        <v>5601</v>
      </c>
      <c r="M58" s="8">
        <f>VLOOKUP(B58,'75 - Summary Exhibit'!A:N,11,FALSE)</f>
        <v>0</v>
      </c>
      <c r="N58" s="8">
        <f>VLOOKUP(B58,'75 - Summary Exhibit'!A:N,12,FALSE)</f>
        <v>6413</v>
      </c>
      <c r="O58" s="8">
        <f>VLOOKUP(B58,'75 - Summary Exhibit'!A:N,13,FALSE)</f>
        <v>2356</v>
      </c>
      <c r="P58" s="8">
        <f t="shared" si="13"/>
        <v>8769</v>
      </c>
      <c r="Q58" s="8">
        <f>VLOOKUP(B58,'75- Deferred Amortization'!A:H,3,FALSE)</f>
        <v>-3165</v>
      </c>
      <c r="R58" s="8">
        <f>VLOOKUP(B58,'75- Deferred Amortization'!A:H,4,FALSE)</f>
        <v>-1839</v>
      </c>
      <c r="S58" s="8">
        <f>VLOOKUP(B58,'75- Deferred Amortization'!A:H,5,FALSE)</f>
        <v>2511</v>
      </c>
      <c r="T58" s="8">
        <f>VLOOKUP(B58,'75- Deferred Amortization'!A:H,6,FALSE)</f>
        <v>1547</v>
      </c>
      <c r="U58" s="8">
        <f>VLOOKUP(B58,'75- Deferred Amortization'!A:H,7,FALSE)</f>
        <v>577</v>
      </c>
      <c r="V58" s="8">
        <f>VLOOKUP(B58,'75- Deferred Amortization'!A:H,8,FALSE)</f>
        <v>0</v>
      </c>
      <c r="X58">
        <v>2</v>
      </c>
      <c r="Y58" s="8">
        <f t="shared" si="14"/>
        <v>-1</v>
      </c>
      <c r="Z58" s="8">
        <f t="shared" si="15"/>
        <v>-3</v>
      </c>
      <c r="AB58" s="8">
        <f>'NOPEB asset change'!F57</f>
        <v>-10383</v>
      </c>
      <c r="AC58" s="8">
        <v>10383</v>
      </c>
      <c r="AD58" s="10">
        <v>9099</v>
      </c>
      <c r="AE58" s="10">
        <v>13562</v>
      </c>
      <c r="AF58" s="10">
        <v>757</v>
      </c>
      <c r="AG58" s="8">
        <v>5327</v>
      </c>
      <c r="AH58" s="8">
        <v>5751</v>
      </c>
      <c r="AI58" s="8">
        <v>0</v>
      </c>
      <c r="AJ58" s="8">
        <v>1772</v>
      </c>
      <c r="AK58" s="8">
        <v>0</v>
      </c>
      <c r="AM58" s="8">
        <f t="shared" si="11"/>
        <v>-733</v>
      </c>
      <c r="AN58" s="8">
        <f t="shared" si="16"/>
        <v>0</v>
      </c>
      <c r="AO58" s="10">
        <f t="shared" si="17"/>
        <v>-4253</v>
      </c>
      <c r="AP58" s="8">
        <f t="shared" si="18"/>
        <v>8076</v>
      </c>
      <c r="AQ58" s="10">
        <f t="shared" si="19"/>
        <v>-578</v>
      </c>
      <c r="AR58" s="8">
        <f t="shared" si="20"/>
        <v>3829</v>
      </c>
      <c r="AS58" s="8">
        <f t="shared" si="21"/>
        <v>-22404</v>
      </c>
      <c r="AT58" s="10">
        <f t="shared" si="22"/>
        <v>-4125</v>
      </c>
      <c r="AU58" s="8">
        <f t="shared" si="23"/>
        <v>0</v>
      </c>
      <c r="AV58" s="8">
        <f t="shared" si="12"/>
        <v>-12021</v>
      </c>
    </row>
    <row r="59" spans="1:48" x14ac:dyDescent="0.25">
      <c r="A59" t="s">
        <v>97</v>
      </c>
      <c r="B59">
        <v>37405</v>
      </c>
      <c r="C59" s="8">
        <f>VLOOKUP(B59,'ER Contributions'!A:D,4,FALSE)</f>
        <v>35113</v>
      </c>
      <c r="D59" s="9">
        <f>VLOOKUP(B59,'ER Contributions'!A:D,3,FALSE)</f>
        <v>1.3997E-3</v>
      </c>
      <c r="E59" s="8">
        <f>VLOOKUP(B59,'75 - Summary Exhibit'!A:N,3,FALSE)</f>
        <v>-46087</v>
      </c>
      <c r="F59" s="10">
        <f>VLOOKUP(B59,'75 - Summary Exhibit'!A:N,4,FALSE)</f>
        <v>18580</v>
      </c>
      <c r="G59" s="10">
        <f>VLOOKUP(B59,'75 - Summary Exhibit'!A:N,5,FALSE)</f>
        <v>36181</v>
      </c>
      <c r="H59" s="10">
        <f>VLOOKUP(B59,'75 - Summary Exhibit'!A:N,6,FALSE)</f>
        <v>687</v>
      </c>
      <c r="I59" s="8">
        <f>VLOOKUP(B59,'75 - Summary Exhibit'!A:N,7,FALSE)</f>
        <v>15134</v>
      </c>
      <c r="J59" s="8">
        <f>VLOOKUP(B59,'75 - Summary Exhibit'!A:N,8,FALSE)</f>
        <v>53009</v>
      </c>
      <c r="K59" s="8">
        <f>VLOOKUP(B59,'75 - Summary Exhibit'!A:N,9,FALSE)</f>
        <v>0</v>
      </c>
      <c r="L59" s="8">
        <f>VLOOKUP(B59,'75 - Summary Exhibit'!A:N,10,FALSE)</f>
        <v>21471</v>
      </c>
      <c r="M59" s="8">
        <f>VLOOKUP(B59,'75 - Summary Exhibit'!A:N,11,FALSE)</f>
        <v>221</v>
      </c>
      <c r="N59" s="8">
        <f>VLOOKUP(B59,'75 - Summary Exhibit'!A:N,12,FALSE)</f>
        <v>24586</v>
      </c>
      <c r="O59" s="8">
        <f>VLOOKUP(B59,'75 - Summary Exhibit'!A:N,13,FALSE)</f>
        <v>6822</v>
      </c>
      <c r="P59" s="8">
        <f t="shared" si="13"/>
        <v>31408</v>
      </c>
      <c r="Q59" s="8">
        <f>VLOOKUP(B59,'75- Deferred Amortization'!A:H,3,FALSE)</f>
        <v>-12106</v>
      </c>
      <c r="R59" s="8">
        <f>VLOOKUP(B59,'75- Deferred Amortization'!A:H,4,FALSE)</f>
        <v>-7630</v>
      </c>
      <c r="S59" s="8">
        <f>VLOOKUP(B59,'75- Deferred Amortization'!A:H,5,FALSE)</f>
        <v>9594</v>
      </c>
      <c r="T59" s="8">
        <f>VLOOKUP(B59,'75- Deferred Amortization'!A:H,6,FALSE)</f>
        <v>4071</v>
      </c>
      <c r="U59" s="8">
        <f>VLOOKUP(B59,'75- Deferred Amortization'!A:H,7,FALSE)</f>
        <v>1950</v>
      </c>
      <c r="V59" s="8">
        <f>VLOOKUP(B59,'75- Deferred Amortization'!A:H,8,FALSE)</f>
        <v>0</v>
      </c>
      <c r="X59">
        <v>2</v>
      </c>
      <c r="Y59" s="8">
        <f t="shared" si="14"/>
        <v>1</v>
      </c>
      <c r="Z59" s="8">
        <f t="shared" si="15"/>
        <v>2</v>
      </c>
      <c r="AB59" s="8">
        <f>'NOPEB asset change'!F58</f>
        <v>-39748</v>
      </c>
      <c r="AC59" s="8">
        <v>39748</v>
      </c>
      <c r="AD59" s="10">
        <v>34834</v>
      </c>
      <c r="AE59" s="10">
        <v>51916</v>
      </c>
      <c r="AF59" s="10">
        <v>2896</v>
      </c>
      <c r="AG59" s="8">
        <v>17430</v>
      </c>
      <c r="AH59" s="8">
        <v>22015</v>
      </c>
      <c r="AI59" s="8">
        <v>0</v>
      </c>
      <c r="AJ59" s="8">
        <v>6785</v>
      </c>
      <c r="AK59" s="8">
        <v>266</v>
      </c>
      <c r="AM59" s="8">
        <f t="shared" si="11"/>
        <v>-2296</v>
      </c>
      <c r="AN59" s="8">
        <f t="shared" si="16"/>
        <v>-45</v>
      </c>
      <c r="AO59" s="10">
        <f t="shared" si="17"/>
        <v>-16254</v>
      </c>
      <c r="AP59" s="8">
        <f t="shared" si="18"/>
        <v>30994</v>
      </c>
      <c r="AQ59" s="10">
        <f t="shared" si="19"/>
        <v>-2209</v>
      </c>
      <c r="AR59" s="8">
        <f t="shared" si="20"/>
        <v>14686</v>
      </c>
      <c r="AS59" s="8">
        <f t="shared" si="21"/>
        <v>-85835</v>
      </c>
      <c r="AT59" s="10">
        <f t="shared" si="22"/>
        <v>-15735</v>
      </c>
      <c r="AU59" s="8">
        <f t="shared" si="23"/>
        <v>0</v>
      </c>
      <c r="AV59" s="8">
        <f t="shared" si="12"/>
        <v>-46087</v>
      </c>
    </row>
    <row r="60" spans="1:48" x14ac:dyDescent="0.25">
      <c r="A60" t="s">
        <v>98</v>
      </c>
      <c r="B60">
        <v>37605</v>
      </c>
      <c r="C60" s="8">
        <f>VLOOKUP(B60,'ER Contributions'!A:D,4,FALSE)</f>
        <v>14310</v>
      </c>
      <c r="D60" s="9">
        <f>VLOOKUP(B60,'ER Contributions'!A:D,3,FALSE)</f>
        <v>5.7289999999999999E-4</v>
      </c>
      <c r="E60" s="8">
        <f>VLOOKUP(B60,'75 - Summary Exhibit'!A:N,3,FALSE)</f>
        <v>-18863</v>
      </c>
      <c r="F60" s="10">
        <f>VLOOKUP(B60,'75 - Summary Exhibit'!A:N,4,FALSE)</f>
        <v>7605</v>
      </c>
      <c r="G60" s="10">
        <f>VLOOKUP(B60,'75 - Summary Exhibit'!A:N,5,FALSE)</f>
        <v>14809</v>
      </c>
      <c r="H60" s="10">
        <f>VLOOKUP(B60,'75 - Summary Exhibit'!A:N,6,FALSE)</f>
        <v>281</v>
      </c>
      <c r="I60" s="8">
        <f>VLOOKUP(B60,'75 - Summary Exhibit'!A:N,7,FALSE)</f>
        <v>4418</v>
      </c>
      <c r="J60" s="8">
        <f>VLOOKUP(B60,'75 - Summary Exhibit'!A:N,8,FALSE)</f>
        <v>21697</v>
      </c>
      <c r="K60" s="8">
        <f>VLOOKUP(B60,'75 - Summary Exhibit'!A:N,9,FALSE)</f>
        <v>0</v>
      </c>
      <c r="L60" s="8">
        <f>VLOOKUP(B60,'75 - Summary Exhibit'!A:N,10,FALSE)</f>
        <v>8788</v>
      </c>
      <c r="M60" s="8">
        <f>VLOOKUP(B60,'75 - Summary Exhibit'!A:N,11,FALSE)</f>
        <v>0</v>
      </c>
      <c r="N60" s="8">
        <f>VLOOKUP(B60,'75 - Summary Exhibit'!A:N,12,FALSE)</f>
        <v>10063</v>
      </c>
      <c r="O60" s="8">
        <f>VLOOKUP(B60,'75 - Summary Exhibit'!A:N,13,FALSE)</f>
        <v>1861</v>
      </c>
      <c r="P60" s="8">
        <f t="shared" si="13"/>
        <v>11924</v>
      </c>
      <c r="Q60" s="8">
        <f>VLOOKUP(B60,'75- Deferred Amortization'!A:H,3,FALSE)</f>
        <v>-5633</v>
      </c>
      <c r="R60" s="8">
        <f>VLOOKUP(B60,'75- Deferred Amortization'!A:H,4,FALSE)</f>
        <v>-3655</v>
      </c>
      <c r="S60" s="8">
        <f>VLOOKUP(B60,'75- Deferred Amortization'!A:H,5,FALSE)</f>
        <v>3542</v>
      </c>
      <c r="T60" s="8">
        <f>VLOOKUP(B60,'75- Deferred Amortization'!A:H,6,FALSE)</f>
        <v>1458</v>
      </c>
      <c r="U60" s="8">
        <f>VLOOKUP(B60,'75- Deferred Amortization'!A:H,7,FALSE)</f>
        <v>917</v>
      </c>
      <c r="V60" s="8">
        <f>VLOOKUP(B60,'75- Deferred Amortization'!A:H,8,FALSE)</f>
        <v>0</v>
      </c>
      <c r="X60">
        <v>2</v>
      </c>
      <c r="Y60" s="8">
        <f t="shared" si="14"/>
        <v>-1</v>
      </c>
      <c r="Z60" s="8">
        <f t="shared" si="15"/>
        <v>-1</v>
      </c>
      <c r="AB60" s="8">
        <f>'NOPEB asset change'!F59</f>
        <v>-15527</v>
      </c>
      <c r="AC60" s="8">
        <v>15527</v>
      </c>
      <c r="AD60" s="10">
        <v>13607</v>
      </c>
      <c r="AE60" s="10">
        <v>20280</v>
      </c>
      <c r="AF60" s="10">
        <v>1131</v>
      </c>
      <c r="AG60" s="8">
        <v>4865</v>
      </c>
      <c r="AH60" s="8">
        <v>8600</v>
      </c>
      <c r="AI60" s="8">
        <v>0</v>
      </c>
      <c r="AJ60" s="8">
        <v>2650</v>
      </c>
      <c r="AK60" s="8">
        <v>0</v>
      </c>
      <c r="AM60" s="8">
        <f t="shared" si="11"/>
        <v>-447</v>
      </c>
      <c r="AN60" s="8">
        <f t="shared" si="16"/>
        <v>0</v>
      </c>
      <c r="AO60" s="10">
        <f t="shared" si="17"/>
        <v>-6002</v>
      </c>
      <c r="AP60" s="8">
        <f t="shared" si="18"/>
        <v>13097</v>
      </c>
      <c r="AQ60" s="10">
        <f t="shared" si="19"/>
        <v>-850</v>
      </c>
      <c r="AR60" s="8">
        <f t="shared" si="20"/>
        <v>6138</v>
      </c>
      <c r="AS60" s="8">
        <f t="shared" si="21"/>
        <v>-34390</v>
      </c>
      <c r="AT60" s="10">
        <f t="shared" si="22"/>
        <v>-5471</v>
      </c>
      <c r="AU60" s="8">
        <f t="shared" si="23"/>
        <v>0</v>
      </c>
      <c r="AV60" s="8">
        <f t="shared" si="12"/>
        <v>-18863</v>
      </c>
    </row>
    <row r="61" spans="1:48" x14ac:dyDescent="0.25">
      <c r="A61" t="s">
        <v>99</v>
      </c>
      <c r="B61">
        <v>37705</v>
      </c>
      <c r="C61" s="8">
        <f>VLOOKUP(B61,'ER Contributions'!A:D,4,FALSE)</f>
        <v>15544</v>
      </c>
      <c r="D61" s="9">
        <f>VLOOKUP(B61,'ER Contributions'!A:D,3,FALSE)</f>
        <v>6.1669999999999997E-4</v>
      </c>
      <c r="E61" s="8">
        <f>VLOOKUP(B61,'75 - Summary Exhibit'!A:N,3,FALSE)</f>
        <v>-20305</v>
      </c>
      <c r="F61" s="10">
        <f>VLOOKUP(B61,'75 - Summary Exhibit'!A:N,4,FALSE)</f>
        <v>8186</v>
      </c>
      <c r="G61" s="10">
        <f>VLOOKUP(B61,'75 - Summary Exhibit'!A:N,5,FALSE)</f>
        <v>15941</v>
      </c>
      <c r="H61" s="10">
        <f>VLOOKUP(B61,'75 - Summary Exhibit'!A:N,6,FALSE)</f>
        <v>303</v>
      </c>
      <c r="I61" s="8">
        <f>VLOOKUP(B61,'75 - Summary Exhibit'!A:N,7,FALSE)</f>
        <v>6728</v>
      </c>
      <c r="J61" s="8">
        <f>VLOOKUP(B61,'75 - Summary Exhibit'!A:N,8,FALSE)</f>
        <v>23356</v>
      </c>
      <c r="K61" s="8">
        <f>VLOOKUP(B61,'75 - Summary Exhibit'!A:N,9,FALSE)</f>
        <v>0</v>
      </c>
      <c r="L61" s="8">
        <f>VLOOKUP(B61,'75 - Summary Exhibit'!A:N,10,FALSE)</f>
        <v>9460</v>
      </c>
      <c r="M61" s="8">
        <f>VLOOKUP(B61,'75 - Summary Exhibit'!A:N,11,FALSE)</f>
        <v>147</v>
      </c>
      <c r="N61" s="8">
        <f>VLOOKUP(B61,'75 - Summary Exhibit'!A:N,12,FALSE)</f>
        <v>10832</v>
      </c>
      <c r="O61" s="8">
        <f>VLOOKUP(B61,'75 - Summary Exhibit'!A:N,13,FALSE)</f>
        <v>1917</v>
      </c>
      <c r="P61" s="8">
        <f t="shared" si="13"/>
        <v>12749</v>
      </c>
      <c r="Q61" s="8">
        <f>VLOOKUP(B61,'75- Deferred Amortization'!A:H,3,FALSE)</f>
        <v>-5817</v>
      </c>
      <c r="R61" s="8">
        <f>VLOOKUP(B61,'75- Deferred Amortization'!A:H,4,FALSE)</f>
        <v>-3206</v>
      </c>
      <c r="S61" s="8">
        <f>VLOOKUP(B61,'75- Deferred Amortization'!A:H,5,FALSE)</f>
        <v>4461</v>
      </c>
      <c r="T61" s="8">
        <f>VLOOKUP(B61,'75- Deferred Amortization'!A:H,6,FALSE)</f>
        <v>1771</v>
      </c>
      <c r="U61" s="8">
        <f>VLOOKUP(B61,'75- Deferred Amortization'!A:H,7,FALSE)</f>
        <v>985</v>
      </c>
      <c r="V61" s="8">
        <f>VLOOKUP(B61,'75- Deferred Amortization'!A:H,8,FALSE)</f>
        <v>0</v>
      </c>
      <c r="X61">
        <v>2</v>
      </c>
      <c r="Y61" s="8">
        <f t="shared" si="14"/>
        <v>-1</v>
      </c>
      <c r="Z61" s="8">
        <f t="shared" si="15"/>
        <v>1</v>
      </c>
      <c r="AB61" s="8">
        <f>'NOPEB asset change'!F60</f>
        <v>-16947</v>
      </c>
      <c r="AC61" s="8">
        <v>16947</v>
      </c>
      <c r="AD61" s="10">
        <v>14852</v>
      </c>
      <c r="AE61" s="10">
        <v>22135</v>
      </c>
      <c r="AF61" s="10">
        <v>1235</v>
      </c>
      <c r="AG61" s="8">
        <v>7213</v>
      </c>
      <c r="AH61" s="8">
        <v>9387</v>
      </c>
      <c r="AI61" s="8">
        <v>0</v>
      </c>
      <c r="AJ61" s="8">
        <v>2893</v>
      </c>
      <c r="AK61" s="8">
        <v>502</v>
      </c>
      <c r="AM61" s="8">
        <f t="shared" si="11"/>
        <v>-485</v>
      </c>
      <c r="AN61" s="8">
        <f t="shared" si="16"/>
        <v>-355</v>
      </c>
      <c r="AO61" s="10">
        <f t="shared" si="17"/>
        <v>-6666</v>
      </c>
      <c r="AP61" s="8">
        <f t="shared" si="18"/>
        <v>13969</v>
      </c>
      <c r="AQ61" s="10">
        <f t="shared" si="19"/>
        <v>-932</v>
      </c>
      <c r="AR61" s="8">
        <f t="shared" si="20"/>
        <v>6567</v>
      </c>
      <c r="AS61" s="8">
        <f t="shared" si="21"/>
        <v>-37252</v>
      </c>
      <c r="AT61" s="10">
        <f t="shared" si="22"/>
        <v>-6194</v>
      </c>
      <c r="AU61" s="8">
        <f t="shared" si="23"/>
        <v>0</v>
      </c>
      <c r="AV61" s="8">
        <f t="shared" si="12"/>
        <v>-20305</v>
      </c>
    </row>
    <row r="62" spans="1:48" x14ac:dyDescent="0.25">
      <c r="A62" t="s">
        <v>79</v>
      </c>
      <c r="B62">
        <v>34605</v>
      </c>
      <c r="C62" s="8">
        <f>VLOOKUP(B62,'ER Contributions'!A:D,4,FALSE)</f>
        <v>3988</v>
      </c>
      <c r="D62" s="9">
        <f>VLOOKUP(B62,'ER Contributions'!A:D,3,FALSE)</f>
        <v>1.7809999999999999E-4</v>
      </c>
      <c r="E62" s="8">
        <f>VLOOKUP(B62,'75 - Summary Exhibit'!A:N,3,FALSE)</f>
        <v>-5864</v>
      </c>
      <c r="F62" s="10">
        <f>VLOOKUP(B62,'75 - Summary Exhibit'!A:N,4,FALSE)</f>
        <v>2364</v>
      </c>
      <c r="G62" s="10">
        <f>VLOOKUP(B62,'75 - Summary Exhibit'!A:N,5,FALSE)</f>
        <v>4604</v>
      </c>
      <c r="H62" s="10">
        <f>VLOOKUP(B62,'75 - Summary Exhibit'!A:N,6,FALSE)</f>
        <v>87</v>
      </c>
      <c r="I62" s="8">
        <f>VLOOKUP(B62,'75 - Summary Exhibit'!A:N,7,FALSE)</f>
        <v>2822</v>
      </c>
      <c r="J62" s="8">
        <f>VLOOKUP(B62,'75 - Summary Exhibit'!A:N,8,FALSE)</f>
        <v>6745</v>
      </c>
      <c r="K62" s="8">
        <f>VLOOKUP(B62,'75 - Summary Exhibit'!A:N,9,FALSE)</f>
        <v>0</v>
      </c>
      <c r="L62" s="8">
        <f>VLOOKUP(B62,'75 - Summary Exhibit'!A:N,10,FALSE)</f>
        <v>2732</v>
      </c>
      <c r="M62" s="8">
        <f>VLOOKUP(B62,'75 - Summary Exhibit'!A:N,11,FALSE)</f>
        <v>196</v>
      </c>
      <c r="N62" s="8">
        <f>VLOOKUP(B62,'75 - Summary Exhibit'!A:N,12,FALSE)</f>
        <v>3128</v>
      </c>
      <c r="O62" s="8">
        <f>VLOOKUP(B62,'75 - Summary Exhibit'!A:N,13,FALSE)</f>
        <v>923</v>
      </c>
      <c r="P62" s="8">
        <f t="shared" si="13"/>
        <v>4051</v>
      </c>
      <c r="Q62" s="8">
        <f>VLOOKUP(B62,'75- Deferred Amortization'!A:H,3,FALSE)</f>
        <v>-1653</v>
      </c>
      <c r="R62" s="8">
        <f>VLOOKUP(B62,'75- Deferred Amortization'!A:H,4,FALSE)</f>
        <v>-886</v>
      </c>
      <c r="S62" s="8">
        <f>VLOOKUP(B62,'75- Deferred Amortization'!A:H,5,FALSE)</f>
        <v>1567</v>
      </c>
      <c r="T62" s="8">
        <f>VLOOKUP(B62,'75- Deferred Amortization'!A:H,6,FALSE)</f>
        <v>825</v>
      </c>
      <c r="U62" s="8">
        <f>VLOOKUP(B62,'75- Deferred Amortization'!A:H,7,FALSE)</f>
        <v>352</v>
      </c>
      <c r="V62" s="8">
        <f>VLOOKUP(B62,'75- Deferred Amortization'!A:H,8,FALSE)</f>
        <v>0</v>
      </c>
      <c r="X62">
        <v>2</v>
      </c>
      <c r="Y62" s="8">
        <f t="shared" si="14"/>
        <v>-1</v>
      </c>
      <c r="Z62" s="8">
        <f t="shared" si="15"/>
        <v>-1</v>
      </c>
      <c r="AB62" s="8">
        <f>'NOPEB asset change'!F61</f>
        <v>-4465</v>
      </c>
      <c r="AC62" s="8">
        <v>4465</v>
      </c>
      <c r="AD62" s="10">
        <v>3913</v>
      </c>
      <c r="AE62" s="10">
        <v>5833</v>
      </c>
      <c r="AF62" s="10">
        <v>325</v>
      </c>
      <c r="AG62" s="8">
        <v>3869</v>
      </c>
      <c r="AH62" s="8">
        <v>2473</v>
      </c>
      <c r="AI62" s="8">
        <v>0</v>
      </c>
      <c r="AJ62" s="8">
        <v>762</v>
      </c>
      <c r="AK62" s="8">
        <v>108</v>
      </c>
      <c r="AM62" s="8">
        <f t="shared" si="11"/>
        <v>-1047</v>
      </c>
      <c r="AN62" s="8">
        <f t="shared" si="16"/>
        <v>88</v>
      </c>
      <c r="AO62" s="10">
        <f t="shared" si="17"/>
        <v>-1549</v>
      </c>
      <c r="AP62" s="8">
        <f t="shared" si="18"/>
        <v>4272</v>
      </c>
      <c r="AQ62" s="10">
        <f t="shared" si="19"/>
        <v>-238</v>
      </c>
      <c r="AR62" s="8">
        <f t="shared" si="20"/>
        <v>1970</v>
      </c>
      <c r="AS62" s="8">
        <f t="shared" si="21"/>
        <v>-10329</v>
      </c>
      <c r="AT62" s="10">
        <f t="shared" si="22"/>
        <v>-1229</v>
      </c>
      <c r="AU62" s="8">
        <f t="shared" si="23"/>
        <v>0</v>
      </c>
      <c r="AV62" s="8">
        <f t="shared" si="12"/>
        <v>-5864</v>
      </c>
    </row>
    <row r="63" spans="1:48" x14ac:dyDescent="0.25">
      <c r="A63" t="s">
        <v>100</v>
      </c>
      <c r="B63">
        <v>37805</v>
      </c>
      <c r="C63" s="8">
        <f>VLOOKUP(B63,'ER Contributions'!A:D,4,FALSE)</f>
        <v>13465</v>
      </c>
      <c r="D63" s="9">
        <f>VLOOKUP(B63,'ER Contributions'!A:D,3,FALSE)</f>
        <v>5.3649999999999998E-4</v>
      </c>
      <c r="E63" s="8">
        <f>VLOOKUP(B63,'75 - Summary Exhibit'!A:N,3,FALSE)</f>
        <v>-17665</v>
      </c>
      <c r="F63" s="10">
        <f>VLOOKUP(B63,'75 - Summary Exhibit'!A:N,4,FALSE)</f>
        <v>7122</v>
      </c>
      <c r="G63" s="10">
        <f>VLOOKUP(B63,'75 - Summary Exhibit'!A:N,5,FALSE)</f>
        <v>13868</v>
      </c>
      <c r="H63" s="10">
        <f>VLOOKUP(B63,'75 - Summary Exhibit'!A:N,6,FALSE)</f>
        <v>263</v>
      </c>
      <c r="I63" s="8">
        <f>VLOOKUP(B63,'75 - Summary Exhibit'!A:N,7,FALSE)</f>
        <v>2505</v>
      </c>
      <c r="J63" s="8">
        <f>VLOOKUP(B63,'75 - Summary Exhibit'!A:N,8,FALSE)</f>
        <v>20318</v>
      </c>
      <c r="K63" s="8">
        <f>VLOOKUP(B63,'75 - Summary Exhibit'!A:N,9,FALSE)</f>
        <v>0</v>
      </c>
      <c r="L63" s="8">
        <f>VLOOKUP(B63,'75 - Summary Exhibit'!A:N,10,FALSE)</f>
        <v>8230</v>
      </c>
      <c r="M63" s="8">
        <f>VLOOKUP(B63,'75 - Summary Exhibit'!A:N,11,FALSE)</f>
        <v>649</v>
      </c>
      <c r="N63" s="8">
        <f>VLOOKUP(B63,'75 - Summary Exhibit'!A:N,12,FALSE)</f>
        <v>9424</v>
      </c>
      <c r="O63" s="8">
        <f>VLOOKUP(B63,'75 - Summary Exhibit'!A:N,13,FALSE)</f>
        <v>1456</v>
      </c>
      <c r="P63" s="8">
        <f t="shared" si="13"/>
        <v>10880</v>
      </c>
      <c r="Q63" s="8">
        <f>VLOOKUP(B63,'75- Deferred Amortization'!A:H,3,FALSE)</f>
        <v>-5948</v>
      </c>
      <c r="R63" s="8">
        <f>VLOOKUP(B63,'75- Deferred Amortization'!A:H,4,FALSE)</f>
        <v>-4014</v>
      </c>
      <c r="S63" s="8">
        <f>VLOOKUP(B63,'75- Deferred Amortization'!A:H,5,FALSE)</f>
        <v>2731</v>
      </c>
      <c r="T63" s="8">
        <f>VLOOKUP(B63,'75- Deferred Amortization'!A:H,6,FALSE)</f>
        <v>1110</v>
      </c>
      <c r="U63" s="8">
        <f>VLOOKUP(B63,'75- Deferred Amortization'!A:H,7,FALSE)</f>
        <v>682</v>
      </c>
      <c r="V63" s="8">
        <f>VLOOKUP(B63,'75- Deferred Amortization'!A:H,8,FALSE)</f>
        <v>0</v>
      </c>
      <c r="X63">
        <v>2</v>
      </c>
      <c r="Y63" s="8">
        <f t="shared" si="14"/>
        <v>2</v>
      </c>
      <c r="Z63" s="8">
        <f t="shared" si="15"/>
        <v>0</v>
      </c>
      <c r="AB63" s="8">
        <f>'NOPEB asset change'!F62</f>
        <v>-14372</v>
      </c>
      <c r="AC63" s="8">
        <v>14372</v>
      </c>
      <c r="AD63" s="10">
        <v>12596</v>
      </c>
      <c r="AE63" s="10">
        <v>18772</v>
      </c>
      <c r="AF63" s="10">
        <v>1047</v>
      </c>
      <c r="AG63" s="8">
        <v>2819</v>
      </c>
      <c r="AH63" s="8">
        <v>7961</v>
      </c>
      <c r="AI63" s="8">
        <v>0</v>
      </c>
      <c r="AJ63" s="8">
        <v>2453</v>
      </c>
      <c r="AK63" s="8">
        <v>809</v>
      </c>
      <c r="AM63" s="8">
        <f t="shared" si="11"/>
        <v>-314</v>
      </c>
      <c r="AN63" s="8">
        <f t="shared" si="16"/>
        <v>-160</v>
      </c>
      <c r="AO63" s="10">
        <f t="shared" si="17"/>
        <v>-5474</v>
      </c>
      <c r="AP63" s="8">
        <f t="shared" si="18"/>
        <v>12357</v>
      </c>
      <c r="AQ63" s="10">
        <f t="shared" si="19"/>
        <v>-784</v>
      </c>
      <c r="AR63" s="8">
        <f t="shared" si="20"/>
        <v>5777</v>
      </c>
      <c r="AS63" s="8">
        <f t="shared" si="21"/>
        <v>-32037</v>
      </c>
      <c r="AT63" s="10">
        <f t="shared" si="22"/>
        <v>-4904</v>
      </c>
      <c r="AU63" s="8">
        <f t="shared" si="23"/>
        <v>0</v>
      </c>
      <c r="AV63" s="8">
        <f t="shared" si="12"/>
        <v>-17665</v>
      </c>
    </row>
    <row r="64" spans="1:48" x14ac:dyDescent="0.25">
      <c r="A64" t="s">
        <v>101</v>
      </c>
      <c r="B64">
        <v>37905</v>
      </c>
      <c r="C64" s="8">
        <f>VLOOKUP(B64,'ER Contributions'!A:D,4,FALSE)</f>
        <v>9601</v>
      </c>
      <c r="D64" s="9">
        <f>VLOOKUP(B64,'ER Contributions'!A:D,3,FALSE)</f>
        <v>3.7780000000000002E-4</v>
      </c>
      <c r="E64" s="8">
        <f>VLOOKUP(B64,'75 - Summary Exhibit'!A:N,3,FALSE)</f>
        <v>-12439</v>
      </c>
      <c r="F64" s="10">
        <f>VLOOKUP(B64,'75 - Summary Exhibit'!A:N,4,FALSE)</f>
        <v>5015</v>
      </c>
      <c r="G64" s="10">
        <f>VLOOKUP(B64,'75 - Summary Exhibit'!A:N,5,FALSE)</f>
        <v>9766</v>
      </c>
      <c r="H64" s="10">
        <f>VLOOKUP(B64,'75 - Summary Exhibit'!A:N,6,FALSE)</f>
        <v>185</v>
      </c>
      <c r="I64" s="8">
        <f>VLOOKUP(B64,'75 - Summary Exhibit'!A:N,7,FALSE)</f>
        <v>3582</v>
      </c>
      <c r="J64" s="8">
        <f>VLOOKUP(B64,'75 - Summary Exhibit'!A:N,8,FALSE)</f>
        <v>14308</v>
      </c>
      <c r="K64" s="8">
        <f>VLOOKUP(B64,'75 - Summary Exhibit'!A:N,9,FALSE)</f>
        <v>0</v>
      </c>
      <c r="L64" s="8">
        <f>VLOOKUP(B64,'75 - Summary Exhibit'!A:N,10,FALSE)</f>
        <v>5795</v>
      </c>
      <c r="M64" s="8">
        <f>VLOOKUP(B64,'75 - Summary Exhibit'!A:N,11,FALSE)</f>
        <v>378</v>
      </c>
      <c r="N64" s="8">
        <f>VLOOKUP(B64,'75 - Summary Exhibit'!A:N,12,FALSE)</f>
        <v>6636</v>
      </c>
      <c r="O64" s="8">
        <f>VLOOKUP(B64,'75 - Summary Exhibit'!A:N,13,FALSE)</f>
        <v>2465</v>
      </c>
      <c r="P64" s="8">
        <f t="shared" si="13"/>
        <v>9101</v>
      </c>
      <c r="Q64" s="8">
        <f>VLOOKUP(B64,'75- Deferred Amortization'!A:H,3,FALSE)</f>
        <v>-3435</v>
      </c>
      <c r="R64" s="8">
        <f>VLOOKUP(B64,'75- Deferred Amortization'!A:H,4,FALSE)</f>
        <v>-2356</v>
      </c>
      <c r="S64" s="8">
        <f>VLOOKUP(B64,'75- Deferred Amortization'!A:H,5,FALSE)</f>
        <v>2364</v>
      </c>
      <c r="T64" s="8">
        <f>VLOOKUP(B64,'75- Deferred Amortization'!A:H,6,FALSE)</f>
        <v>1034</v>
      </c>
      <c r="U64" s="8">
        <f>VLOOKUP(B64,'75- Deferred Amortization'!A:H,7,FALSE)</f>
        <v>459</v>
      </c>
      <c r="V64" s="8">
        <f>VLOOKUP(B64,'75- Deferred Amortization'!A:H,8,FALSE)</f>
        <v>0</v>
      </c>
      <c r="X64">
        <v>2</v>
      </c>
      <c r="Y64" s="8">
        <f t="shared" si="14"/>
        <v>0</v>
      </c>
      <c r="Z64" s="8">
        <f t="shared" si="15"/>
        <v>1</v>
      </c>
      <c r="AB64" s="8">
        <f>'NOPEB asset change'!F63</f>
        <v>-10067</v>
      </c>
      <c r="AC64" s="8">
        <v>10067</v>
      </c>
      <c r="AD64" s="10">
        <v>8822</v>
      </c>
      <c r="AE64" s="10">
        <v>13148</v>
      </c>
      <c r="AF64" s="10">
        <v>734</v>
      </c>
      <c r="AG64" s="8">
        <v>5116</v>
      </c>
      <c r="AH64" s="8">
        <v>5576</v>
      </c>
      <c r="AI64" s="8">
        <v>0</v>
      </c>
      <c r="AJ64" s="8">
        <v>1718</v>
      </c>
      <c r="AK64" s="8">
        <v>453</v>
      </c>
      <c r="AM64" s="8">
        <f t="shared" si="11"/>
        <v>-1534</v>
      </c>
      <c r="AN64" s="8">
        <f t="shared" si="16"/>
        <v>-75</v>
      </c>
      <c r="AO64" s="10">
        <f t="shared" si="17"/>
        <v>-3807</v>
      </c>
      <c r="AP64" s="8">
        <f t="shared" si="18"/>
        <v>8732</v>
      </c>
      <c r="AQ64" s="10">
        <f t="shared" si="19"/>
        <v>-549</v>
      </c>
      <c r="AR64" s="8">
        <f t="shared" si="20"/>
        <v>4077</v>
      </c>
      <c r="AS64" s="8">
        <f t="shared" si="21"/>
        <v>-22506</v>
      </c>
      <c r="AT64" s="10">
        <f t="shared" si="22"/>
        <v>-3382</v>
      </c>
      <c r="AU64" s="8">
        <f t="shared" si="23"/>
        <v>0</v>
      </c>
      <c r="AV64" s="8">
        <f t="shared" si="12"/>
        <v>-12439</v>
      </c>
    </row>
    <row r="65" spans="1:48" x14ac:dyDescent="0.25">
      <c r="A65" t="s">
        <v>102</v>
      </c>
      <c r="B65">
        <v>38005</v>
      </c>
      <c r="C65" s="8">
        <f>VLOOKUP(B65,'ER Contributions'!A:D,4,FALSE)</f>
        <v>30052</v>
      </c>
      <c r="D65" s="9">
        <f>VLOOKUP(B65,'ER Contributions'!A:D,3,FALSE)</f>
        <v>1.2711000000000001E-3</v>
      </c>
      <c r="E65" s="8">
        <f>VLOOKUP(B65,'75 - Summary Exhibit'!A:N,3,FALSE)</f>
        <v>-41852</v>
      </c>
      <c r="F65" s="10">
        <f>VLOOKUP(B65,'75 - Summary Exhibit'!A:N,4,FALSE)</f>
        <v>16873</v>
      </c>
      <c r="G65" s="10">
        <f>VLOOKUP(B65,'75 - Summary Exhibit'!A:N,5,FALSE)</f>
        <v>32857</v>
      </c>
      <c r="H65" s="10">
        <f>VLOOKUP(B65,'75 - Summary Exhibit'!A:N,6,FALSE)</f>
        <v>624</v>
      </c>
      <c r="I65" s="8">
        <f>VLOOKUP(B65,'75 - Summary Exhibit'!A:N,7,FALSE)</f>
        <v>1019</v>
      </c>
      <c r="J65" s="8">
        <f>VLOOKUP(B65,'75 - Summary Exhibit'!A:N,8,FALSE)</f>
        <v>48139</v>
      </c>
      <c r="K65" s="8">
        <f>VLOOKUP(B65,'75 - Summary Exhibit'!A:N,9,FALSE)</f>
        <v>0</v>
      </c>
      <c r="L65" s="8">
        <f>VLOOKUP(B65,'75 - Summary Exhibit'!A:N,10,FALSE)</f>
        <v>19499</v>
      </c>
      <c r="M65" s="8">
        <f>VLOOKUP(B65,'75 - Summary Exhibit'!A:N,11,FALSE)</f>
        <v>2041</v>
      </c>
      <c r="N65" s="8">
        <f>VLOOKUP(B65,'75 - Summary Exhibit'!A:N,12,FALSE)</f>
        <v>22327</v>
      </c>
      <c r="O65" s="8">
        <f>VLOOKUP(B65,'75 - Summary Exhibit'!A:N,13,FALSE)</f>
        <v>943</v>
      </c>
      <c r="P65" s="8">
        <f t="shared" si="13"/>
        <v>23270</v>
      </c>
      <c r="Q65" s="8">
        <f>VLOOKUP(B65,'75- Deferred Amortization'!A:H,3,FALSE)</f>
        <v>-16169</v>
      </c>
      <c r="R65" s="8">
        <f>VLOOKUP(B65,'75- Deferred Amortization'!A:H,4,FALSE)</f>
        <v>-11497</v>
      </c>
      <c r="S65" s="8">
        <f>VLOOKUP(B65,'75- Deferred Amortization'!A:H,5,FALSE)</f>
        <v>5279</v>
      </c>
      <c r="T65" s="8">
        <f>VLOOKUP(B65,'75- Deferred Amortization'!A:H,6,FALSE)</f>
        <v>2496</v>
      </c>
      <c r="U65" s="8">
        <f>VLOOKUP(B65,'75- Deferred Amortization'!A:H,7,FALSE)</f>
        <v>1583</v>
      </c>
      <c r="V65" s="8">
        <f>VLOOKUP(B65,'75- Deferred Amortization'!A:H,8,FALSE)</f>
        <v>0</v>
      </c>
      <c r="X65">
        <v>2</v>
      </c>
      <c r="Y65" s="8">
        <f t="shared" si="14"/>
        <v>-1</v>
      </c>
      <c r="Z65" s="8">
        <f t="shared" si="15"/>
        <v>2</v>
      </c>
      <c r="AB65" s="8">
        <f>'NOPEB asset change'!F64</f>
        <v>-33136</v>
      </c>
      <c r="AC65" s="8">
        <v>33136</v>
      </c>
      <c r="AD65" s="10">
        <v>29039</v>
      </c>
      <c r="AE65" s="10">
        <v>43280</v>
      </c>
      <c r="AF65" s="10">
        <v>2415</v>
      </c>
      <c r="AG65" s="8">
        <v>1712</v>
      </c>
      <c r="AH65" s="8">
        <v>18353</v>
      </c>
      <c r="AI65" s="8">
        <v>0</v>
      </c>
      <c r="AJ65" s="8">
        <v>5656</v>
      </c>
      <c r="AK65" s="8">
        <v>2536</v>
      </c>
      <c r="AM65" s="8">
        <f t="shared" si="11"/>
        <v>-693</v>
      </c>
      <c r="AN65" s="8">
        <f t="shared" si="16"/>
        <v>-495</v>
      </c>
      <c r="AO65" s="10">
        <f t="shared" si="17"/>
        <v>-12166</v>
      </c>
      <c r="AP65" s="8">
        <f t="shared" si="18"/>
        <v>29786</v>
      </c>
      <c r="AQ65" s="10">
        <f t="shared" si="19"/>
        <v>-1791</v>
      </c>
      <c r="AR65" s="8">
        <f t="shared" si="20"/>
        <v>13843</v>
      </c>
      <c r="AS65" s="8">
        <f t="shared" si="21"/>
        <v>-74988</v>
      </c>
      <c r="AT65" s="10">
        <f t="shared" si="22"/>
        <v>-10423</v>
      </c>
      <c r="AU65" s="8">
        <f t="shared" si="23"/>
        <v>0</v>
      </c>
      <c r="AV65" s="8">
        <f t="shared" si="12"/>
        <v>-41852</v>
      </c>
    </row>
    <row r="66" spans="1:48" x14ac:dyDescent="0.25">
      <c r="A66" t="s">
        <v>104</v>
      </c>
      <c r="B66">
        <v>38205</v>
      </c>
      <c r="C66" s="8">
        <f>VLOOKUP(B66,'ER Contributions'!A:D,4,FALSE)</f>
        <v>9188</v>
      </c>
      <c r="D66" s="9">
        <f>VLOOKUP(B66,'ER Contributions'!A:D,3,FALSE)</f>
        <v>3.8010000000000002E-4</v>
      </c>
      <c r="E66" s="8">
        <f>VLOOKUP(B66,'75 - Summary Exhibit'!A:N,3,FALSE)</f>
        <v>-12515</v>
      </c>
      <c r="F66" s="10">
        <f>VLOOKUP(B66,'75 - Summary Exhibit'!A:N,4,FALSE)</f>
        <v>5045</v>
      </c>
      <c r="G66" s="10">
        <f>VLOOKUP(B66,'75 - Summary Exhibit'!A:N,5,FALSE)</f>
        <v>9825</v>
      </c>
      <c r="H66" s="10">
        <f>VLOOKUP(B66,'75 - Summary Exhibit'!A:N,6,FALSE)</f>
        <v>187</v>
      </c>
      <c r="I66" s="8">
        <f>VLOOKUP(B66,'75 - Summary Exhibit'!A:N,7,FALSE)</f>
        <v>1982</v>
      </c>
      <c r="J66" s="8">
        <f>VLOOKUP(B66,'75 - Summary Exhibit'!A:N,8,FALSE)</f>
        <v>14395</v>
      </c>
      <c r="K66" s="8">
        <f>VLOOKUP(B66,'75 - Summary Exhibit'!A:N,9,FALSE)</f>
        <v>0</v>
      </c>
      <c r="L66" s="8">
        <f>VLOOKUP(B66,'75 - Summary Exhibit'!A:N,10,FALSE)</f>
        <v>5831</v>
      </c>
      <c r="M66" s="8">
        <f>VLOOKUP(B66,'75 - Summary Exhibit'!A:N,11,FALSE)</f>
        <v>643</v>
      </c>
      <c r="N66" s="8">
        <f>VLOOKUP(B66,'75 - Summary Exhibit'!A:N,12,FALSE)</f>
        <v>6676</v>
      </c>
      <c r="O66" s="8">
        <f>VLOOKUP(B66,'75 - Summary Exhibit'!A:N,13,FALSE)</f>
        <v>475</v>
      </c>
      <c r="P66" s="8">
        <f t="shared" si="13"/>
        <v>7151</v>
      </c>
      <c r="Q66" s="8">
        <f>VLOOKUP(B66,'75- Deferred Amortization'!A:H,3,FALSE)</f>
        <v>-4609</v>
      </c>
      <c r="R66" s="8">
        <f>VLOOKUP(B66,'75- Deferred Amortization'!A:H,4,FALSE)</f>
        <v>-2790</v>
      </c>
      <c r="S66" s="8">
        <f>VLOOKUP(B66,'75- Deferred Amortization'!A:H,5,FALSE)</f>
        <v>2041</v>
      </c>
      <c r="T66" s="8">
        <f>VLOOKUP(B66,'75- Deferred Amortization'!A:H,6,FALSE)</f>
        <v>874</v>
      </c>
      <c r="U66" s="8">
        <f>VLOOKUP(B66,'75- Deferred Amortization'!A:H,7,FALSE)</f>
        <v>655</v>
      </c>
      <c r="V66" s="8">
        <f>VLOOKUP(B66,'75- Deferred Amortization'!A:H,8,FALSE)</f>
        <v>0</v>
      </c>
      <c r="X66">
        <v>2</v>
      </c>
      <c r="Y66" s="8">
        <f t="shared" si="14"/>
        <v>-1</v>
      </c>
      <c r="Z66" s="8">
        <f t="shared" si="15"/>
        <v>-1</v>
      </c>
      <c r="AB66" s="8">
        <f>'NOPEB asset change'!F65</f>
        <v>-10593</v>
      </c>
      <c r="AC66" s="8">
        <v>10593</v>
      </c>
      <c r="AD66" s="10">
        <v>9284</v>
      </c>
      <c r="AE66" s="10">
        <v>13836</v>
      </c>
      <c r="AF66" s="10">
        <v>772</v>
      </c>
      <c r="AG66" s="8">
        <v>2054</v>
      </c>
      <c r="AH66" s="8">
        <v>5867</v>
      </c>
      <c r="AI66" s="8">
        <v>0</v>
      </c>
      <c r="AJ66" s="8">
        <v>1808</v>
      </c>
      <c r="AK66" s="8">
        <v>1029</v>
      </c>
      <c r="AM66" s="8">
        <f t="shared" si="11"/>
        <v>-72</v>
      </c>
      <c r="AN66" s="8">
        <f t="shared" si="16"/>
        <v>-386</v>
      </c>
      <c r="AO66" s="10">
        <f t="shared" si="17"/>
        <v>-4239</v>
      </c>
      <c r="AP66" s="8">
        <f t="shared" si="18"/>
        <v>8528</v>
      </c>
      <c r="AQ66" s="10">
        <f t="shared" si="19"/>
        <v>-585</v>
      </c>
      <c r="AR66" s="8">
        <f t="shared" si="20"/>
        <v>4023</v>
      </c>
      <c r="AS66" s="8">
        <f t="shared" si="21"/>
        <v>-23108</v>
      </c>
      <c r="AT66" s="10">
        <f t="shared" si="22"/>
        <v>-4011</v>
      </c>
      <c r="AU66" s="8">
        <f t="shared" si="23"/>
        <v>0</v>
      </c>
      <c r="AV66" s="8">
        <f t="shared" si="12"/>
        <v>-12515</v>
      </c>
    </row>
    <row r="67" spans="1:48" x14ac:dyDescent="0.25">
      <c r="A67" t="s">
        <v>90</v>
      </c>
      <c r="B67">
        <v>36305</v>
      </c>
      <c r="C67" s="8">
        <f>VLOOKUP(B67,'ER Contributions'!A:D,4,FALSE)</f>
        <v>21540</v>
      </c>
      <c r="D67" s="9">
        <f>VLOOKUP(B67,'ER Contributions'!A:D,3,FALSE)</f>
        <v>9.0160000000000001E-4</v>
      </c>
      <c r="E67" s="8">
        <f>VLOOKUP(B67,'75 - Summary Exhibit'!A:N,3,FALSE)</f>
        <v>-29686</v>
      </c>
      <c r="F67" s="10">
        <f>VLOOKUP(B67,'75 - Summary Exhibit'!A:N,4,FALSE)</f>
        <v>11968</v>
      </c>
      <c r="G67" s="10">
        <f>VLOOKUP(B67,'75 - Summary Exhibit'!A:N,5,FALSE)</f>
        <v>23305</v>
      </c>
      <c r="H67" s="10">
        <f>VLOOKUP(B67,'75 - Summary Exhibit'!A:N,6,FALSE)</f>
        <v>443</v>
      </c>
      <c r="I67" s="8">
        <f>VLOOKUP(B67,'75 - Summary Exhibit'!A:N,7,FALSE)</f>
        <v>3218</v>
      </c>
      <c r="J67" s="8">
        <f>VLOOKUP(B67,'75 - Summary Exhibit'!A:N,8,FALSE)</f>
        <v>34145</v>
      </c>
      <c r="K67" s="8">
        <f>VLOOKUP(B67,'75 - Summary Exhibit'!A:N,9,FALSE)</f>
        <v>0</v>
      </c>
      <c r="L67" s="8">
        <f>VLOOKUP(B67,'75 - Summary Exhibit'!A:N,10,FALSE)</f>
        <v>13831</v>
      </c>
      <c r="M67" s="8">
        <f>VLOOKUP(B67,'75 - Summary Exhibit'!A:N,11,FALSE)</f>
        <v>733</v>
      </c>
      <c r="N67" s="8">
        <f>VLOOKUP(B67,'75 - Summary Exhibit'!A:N,12,FALSE)</f>
        <v>15837</v>
      </c>
      <c r="O67" s="8">
        <f>VLOOKUP(B67,'75 - Summary Exhibit'!A:N,13,FALSE)</f>
        <v>1177</v>
      </c>
      <c r="P67" s="8">
        <f t="shared" ref="P67:P80" si="24">N67+O67</f>
        <v>17014</v>
      </c>
      <c r="Q67" s="8">
        <f>VLOOKUP(B67,'75- Deferred Amortization'!A:H,3,FALSE)</f>
        <v>-10850</v>
      </c>
      <c r="R67" s="8">
        <f>VLOOKUP(B67,'75- Deferred Amortization'!A:H,4,FALSE)</f>
        <v>-7030</v>
      </c>
      <c r="S67" s="8">
        <f>VLOOKUP(B67,'75- Deferred Amortization'!A:H,5,FALSE)</f>
        <v>4737</v>
      </c>
      <c r="T67" s="8">
        <f>VLOOKUP(B67,'75- Deferred Amortization'!A:H,6,FALSE)</f>
        <v>2191</v>
      </c>
      <c r="U67" s="8">
        <f>VLOOKUP(B67,'75- Deferred Amortization'!A:H,7,FALSE)</f>
        <v>1177</v>
      </c>
      <c r="V67" s="8">
        <f>VLOOKUP(B67,'75- Deferred Amortization'!A:H,8,FALSE)</f>
        <v>0</v>
      </c>
      <c r="X67">
        <v>2</v>
      </c>
      <c r="Y67" s="8">
        <f t="shared" si="14"/>
        <v>0</v>
      </c>
      <c r="Z67" s="8">
        <f t="shared" si="15"/>
        <v>0</v>
      </c>
      <c r="AB67" s="8">
        <f>'NOPEB asset change'!F66</f>
        <v>-23825</v>
      </c>
      <c r="AC67" s="8">
        <v>23825</v>
      </c>
      <c r="AD67" s="10">
        <v>20879</v>
      </c>
      <c r="AE67" s="10">
        <v>31118</v>
      </c>
      <c r="AF67" s="10">
        <v>1736</v>
      </c>
      <c r="AG67" s="8">
        <v>3790</v>
      </c>
      <c r="AH67" s="8">
        <v>13196</v>
      </c>
      <c r="AI67" s="8">
        <v>0</v>
      </c>
      <c r="AJ67" s="8">
        <v>4067</v>
      </c>
      <c r="AK67" s="8">
        <v>1050</v>
      </c>
      <c r="AM67" s="8">
        <f t="shared" si="11"/>
        <v>-572</v>
      </c>
      <c r="AN67" s="8">
        <f t="shared" si="16"/>
        <v>-317</v>
      </c>
      <c r="AO67" s="10">
        <f t="shared" si="17"/>
        <v>-8911</v>
      </c>
      <c r="AP67" s="8">
        <f t="shared" si="18"/>
        <v>20949</v>
      </c>
      <c r="AQ67" s="10">
        <f t="shared" si="19"/>
        <v>-1293</v>
      </c>
      <c r="AR67" s="8">
        <f t="shared" si="20"/>
        <v>9764</v>
      </c>
      <c r="AS67" s="8">
        <f t="shared" si="21"/>
        <v>-53511</v>
      </c>
      <c r="AT67" s="10">
        <f t="shared" si="22"/>
        <v>-7813</v>
      </c>
      <c r="AU67" s="8">
        <f t="shared" si="23"/>
        <v>0</v>
      </c>
      <c r="AV67" s="8">
        <f t="shared" si="12"/>
        <v>-29686</v>
      </c>
    </row>
    <row r="68" spans="1:48" x14ac:dyDescent="0.25">
      <c r="A68" t="s">
        <v>55</v>
      </c>
      <c r="B68">
        <v>30405</v>
      </c>
      <c r="C68" s="8">
        <f>VLOOKUP(B68,'ER Contributions'!A:D,4,FALSE)</f>
        <v>15231</v>
      </c>
      <c r="D68" s="9">
        <f>VLOOKUP(B68,'ER Contributions'!A:D,3,FALSE)</f>
        <v>6.5749999999999999E-4</v>
      </c>
      <c r="E68" s="8">
        <f>VLOOKUP(B68,'75 - Summary Exhibit'!A:N,3,FALSE)</f>
        <v>-21649</v>
      </c>
      <c r="F68" s="10">
        <f>VLOOKUP(B68,'75 - Summary Exhibit'!A:N,4,FALSE)</f>
        <v>8728</v>
      </c>
      <c r="G68" s="10">
        <f>VLOOKUP(B68,'75 - Summary Exhibit'!A:N,5,FALSE)</f>
        <v>16996</v>
      </c>
      <c r="H68" s="10">
        <f>VLOOKUP(B68,'75 - Summary Exhibit'!A:N,6,FALSE)</f>
        <v>323</v>
      </c>
      <c r="I68" s="8">
        <f>VLOOKUP(B68,'75 - Summary Exhibit'!A:N,7,FALSE)</f>
        <v>3700</v>
      </c>
      <c r="J68" s="8">
        <f>VLOOKUP(B68,'75 - Summary Exhibit'!A:N,8,FALSE)</f>
        <v>24901</v>
      </c>
      <c r="K68" s="8">
        <f>VLOOKUP(B68,'75 - Summary Exhibit'!A:N,9,FALSE)</f>
        <v>0</v>
      </c>
      <c r="L68" s="8">
        <f>VLOOKUP(B68,'75 - Summary Exhibit'!A:N,10,FALSE)</f>
        <v>10086</v>
      </c>
      <c r="M68" s="8">
        <f>VLOOKUP(B68,'75 - Summary Exhibit'!A:N,11,FALSE)</f>
        <v>1953</v>
      </c>
      <c r="N68" s="8">
        <f>VLOOKUP(B68,'75 - Summary Exhibit'!A:N,12,FALSE)</f>
        <v>11549</v>
      </c>
      <c r="O68" s="8">
        <f>VLOOKUP(B68,'75 - Summary Exhibit'!A:N,13,FALSE)</f>
        <v>1717</v>
      </c>
      <c r="P68" s="8">
        <f t="shared" si="24"/>
        <v>13266</v>
      </c>
      <c r="Q68" s="8">
        <f>VLOOKUP(B68,'75- Deferred Amortization'!A:H,3,FALSE)</f>
        <v>-7606</v>
      </c>
      <c r="R68" s="8">
        <f>VLOOKUP(B68,'75- Deferred Amortization'!A:H,4,FALSE)</f>
        <v>-5286</v>
      </c>
      <c r="S68" s="8">
        <f>VLOOKUP(B68,'75- Deferred Amortization'!A:H,5,FALSE)</f>
        <v>3566</v>
      </c>
      <c r="T68" s="8">
        <f>VLOOKUP(B68,'75- Deferred Amortization'!A:H,6,FALSE)</f>
        <v>1395</v>
      </c>
      <c r="U68" s="8">
        <f>VLOOKUP(B68,'75- Deferred Amortization'!A:H,7,FALSE)</f>
        <v>739</v>
      </c>
      <c r="V68" s="8">
        <f>VLOOKUP(B68,'75- Deferred Amortization'!A:H,8,FALSE)</f>
        <v>0</v>
      </c>
      <c r="X68">
        <v>2</v>
      </c>
      <c r="Y68" s="8">
        <f t="shared" ref="Y68:Y88" si="25">ROUND(((F68-AD68)+(G68-AE68)+(H68-AF68)+(I68-AG68)+(AI68-K68)+P68-(E68-AC68)-(J68-AH68)-(L68-AJ68)-(M68-AK68)-C68),0)</f>
        <v>1</v>
      </c>
      <c r="Z68" s="8">
        <f t="shared" ref="Z68:Z88" si="26">ROUND((F68+G68+H68+I68-J68-K68-L68-M68-Q68-R68-S68-T68-U68-V68),0)</f>
        <v>-1</v>
      </c>
      <c r="AB68" s="8">
        <f>'NOPEB asset change'!F67</f>
        <v>-16729</v>
      </c>
      <c r="AC68" s="8">
        <v>16729</v>
      </c>
      <c r="AD68" s="10">
        <v>14661</v>
      </c>
      <c r="AE68" s="10">
        <v>21850</v>
      </c>
      <c r="AF68" s="10">
        <v>1219</v>
      </c>
      <c r="AG68" s="8">
        <v>5952</v>
      </c>
      <c r="AH68" s="8">
        <v>9266</v>
      </c>
      <c r="AI68" s="8">
        <v>0</v>
      </c>
      <c r="AJ68" s="8">
        <v>2856</v>
      </c>
      <c r="AK68" s="8">
        <v>2341</v>
      </c>
      <c r="AM68" s="8">
        <f t="shared" si="11"/>
        <v>-2252</v>
      </c>
      <c r="AN68" s="8">
        <f t="shared" ref="AN68:AN85" si="27">M68-AK68</f>
        <v>-388</v>
      </c>
      <c r="AO68" s="10">
        <f t="shared" ref="AO68:AO88" si="28">F68-AD68</f>
        <v>-5933</v>
      </c>
      <c r="AP68" s="8">
        <f t="shared" ref="AP68:AP88" si="29">J68-AH68</f>
        <v>15635</v>
      </c>
      <c r="AQ68" s="10">
        <f t="shared" ref="AQ68:AQ88" si="30">H68-AF68</f>
        <v>-896</v>
      </c>
      <c r="AR68" s="8">
        <f t="shared" ref="AR68:AR88" si="31">L68-AJ68</f>
        <v>7230</v>
      </c>
      <c r="AS68" s="8">
        <f t="shared" ref="AS68:AS88" si="32">E68-AC68</f>
        <v>-38378</v>
      </c>
      <c r="AT68" s="10">
        <f t="shared" ref="AT68:AT88" si="33">G68-AE68</f>
        <v>-4854</v>
      </c>
      <c r="AU68" s="8">
        <f t="shared" ref="AU68:AU88" si="34">K68-AI68</f>
        <v>0</v>
      </c>
      <c r="AV68" s="8">
        <f t="shared" si="12"/>
        <v>-21649</v>
      </c>
    </row>
    <row r="69" spans="1:48" x14ac:dyDescent="0.25">
      <c r="A69" t="s">
        <v>66</v>
      </c>
      <c r="B69">
        <v>32405</v>
      </c>
      <c r="C69" s="8">
        <f>VLOOKUP(B69,'ER Contributions'!A:D,4,FALSE)</f>
        <v>10714</v>
      </c>
      <c r="D69" s="9">
        <f>VLOOKUP(B69,'ER Contributions'!A:D,3,FALSE)</f>
        <v>4.3869999999999998E-4</v>
      </c>
      <c r="E69" s="8">
        <f>VLOOKUP(B69,'75 - Summary Exhibit'!A:N,3,FALSE)</f>
        <v>-14445</v>
      </c>
      <c r="F69" s="10">
        <f>VLOOKUP(B69,'75 - Summary Exhibit'!A:N,4,FALSE)</f>
        <v>5823</v>
      </c>
      <c r="G69" s="10">
        <f>VLOOKUP(B69,'75 - Summary Exhibit'!A:N,5,FALSE)</f>
        <v>11340</v>
      </c>
      <c r="H69" s="10">
        <f>VLOOKUP(B69,'75 - Summary Exhibit'!A:N,6,FALSE)</f>
        <v>215</v>
      </c>
      <c r="I69" s="8">
        <f>VLOOKUP(B69,'75 - Summary Exhibit'!A:N,7,FALSE)</f>
        <v>4344</v>
      </c>
      <c r="J69" s="8">
        <f>VLOOKUP(B69,'75 - Summary Exhibit'!A:N,8,FALSE)</f>
        <v>16614</v>
      </c>
      <c r="K69" s="8">
        <f>VLOOKUP(B69,'75 - Summary Exhibit'!A:N,9,FALSE)</f>
        <v>0</v>
      </c>
      <c r="L69" s="8">
        <f>VLOOKUP(B69,'75 - Summary Exhibit'!A:N,10,FALSE)</f>
        <v>6730</v>
      </c>
      <c r="M69" s="8">
        <f>VLOOKUP(B69,'75 - Summary Exhibit'!A:N,11,FALSE)</f>
        <v>0</v>
      </c>
      <c r="N69" s="8">
        <f>VLOOKUP(B69,'75 - Summary Exhibit'!A:N,12,FALSE)</f>
        <v>7706</v>
      </c>
      <c r="O69" s="8">
        <f>VLOOKUP(B69,'75 - Summary Exhibit'!A:N,13,FALSE)</f>
        <v>1683</v>
      </c>
      <c r="P69" s="8">
        <f t="shared" si="24"/>
        <v>9389</v>
      </c>
      <c r="Q69" s="8">
        <f>VLOOKUP(B69,'75- Deferred Amortization'!A:H,3,FALSE)</f>
        <v>-4270</v>
      </c>
      <c r="R69" s="8">
        <f>VLOOKUP(B69,'75- Deferred Amortization'!A:H,4,FALSE)</f>
        <v>-2743</v>
      </c>
      <c r="S69" s="8">
        <f>VLOOKUP(B69,'75- Deferred Amortization'!A:H,5,FALSE)</f>
        <v>2930</v>
      </c>
      <c r="T69" s="8">
        <f>VLOOKUP(B69,'75- Deferred Amortization'!A:H,6,FALSE)</f>
        <v>1614</v>
      </c>
      <c r="U69" s="8">
        <f>VLOOKUP(B69,'75- Deferred Amortization'!A:H,7,FALSE)</f>
        <v>849</v>
      </c>
      <c r="V69" s="8">
        <f>VLOOKUP(B69,'75- Deferred Amortization'!A:H,8,FALSE)</f>
        <v>0</v>
      </c>
      <c r="X69">
        <v>2</v>
      </c>
      <c r="Y69" s="8">
        <f t="shared" si="25"/>
        <v>1</v>
      </c>
      <c r="Z69" s="8">
        <f t="shared" si="26"/>
        <v>-2</v>
      </c>
      <c r="AB69" s="8">
        <f>'NOPEB asset change'!F68</f>
        <v>-11455</v>
      </c>
      <c r="AC69" s="8">
        <v>11455</v>
      </c>
      <c r="AD69" s="10">
        <v>10039</v>
      </c>
      <c r="AE69" s="10">
        <v>14962</v>
      </c>
      <c r="AF69" s="10">
        <v>835</v>
      </c>
      <c r="AG69" s="8">
        <v>5416</v>
      </c>
      <c r="AH69" s="8">
        <v>6345</v>
      </c>
      <c r="AI69" s="8">
        <v>0</v>
      </c>
      <c r="AJ69" s="8">
        <v>1955</v>
      </c>
      <c r="AK69" s="8">
        <v>0</v>
      </c>
      <c r="AM69" s="8">
        <f t="shared" si="11"/>
        <v>-1072</v>
      </c>
      <c r="AN69" s="8">
        <f t="shared" si="27"/>
        <v>0</v>
      </c>
      <c r="AO69" s="10">
        <f t="shared" si="28"/>
        <v>-4216</v>
      </c>
      <c r="AP69" s="8">
        <f t="shared" si="29"/>
        <v>10269</v>
      </c>
      <c r="AQ69" s="10">
        <f t="shared" si="30"/>
        <v>-620</v>
      </c>
      <c r="AR69" s="8">
        <f t="shared" si="31"/>
        <v>4775</v>
      </c>
      <c r="AS69" s="8">
        <f t="shared" si="32"/>
        <v>-25900</v>
      </c>
      <c r="AT69" s="10">
        <f t="shared" si="33"/>
        <v>-3622</v>
      </c>
      <c r="AU69" s="8">
        <f t="shared" si="34"/>
        <v>0</v>
      </c>
      <c r="AV69" s="8">
        <f t="shared" si="12"/>
        <v>-14445</v>
      </c>
    </row>
    <row r="70" spans="1:48" x14ac:dyDescent="0.25">
      <c r="A70" t="s">
        <v>81</v>
      </c>
      <c r="B70">
        <v>35005</v>
      </c>
      <c r="C70" s="8">
        <f>VLOOKUP(B70,'ER Contributions'!A:D,4,FALSE)</f>
        <v>12000</v>
      </c>
      <c r="D70" s="9">
        <f>VLOOKUP(B70,'ER Contributions'!A:D,3,FALSE)</f>
        <v>4.9129999999999996E-4</v>
      </c>
      <c r="E70" s="8">
        <f>VLOOKUP(B70,'75 - Summary Exhibit'!A:N,3,FALSE)</f>
        <v>-16177</v>
      </c>
      <c r="F70" s="10">
        <f>VLOOKUP(B70,'75 - Summary Exhibit'!A:N,4,FALSE)</f>
        <v>6522</v>
      </c>
      <c r="G70" s="10">
        <f>VLOOKUP(B70,'75 - Summary Exhibit'!A:N,5,FALSE)</f>
        <v>12700</v>
      </c>
      <c r="H70" s="10">
        <f>VLOOKUP(B70,'75 - Summary Exhibit'!A:N,6,FALSE)</f>
        <v>241</v>
      </c>
      <c r="I70" s="8">
        <f>VLOOKUP(B70,'75 - Summary Exhibit'!A:N,7,FALSE)</f>
        <v>4795</v>
      </c>
      <c r="J70" s="8">
        <f>VLOOKUP(B70,'75 - Summary Exhibit'!A:N,8,FALSE)</f>
        <v>18607</v>
      </c>
      <c r="K70" s="8">
        <f>VLOOKUP(B70,'75 - Summary Exhibit'!A:N,9,FALSE)</f>
        <v>0</v>
      </c>
      <c r="L70" s="8">
        <f>VLOOKUP(B70,'75 - Summary Exhibit'!A:N,10,FALSE)</f>
        <v>7537</v>
      </c>
      <c r="M70" s="8">
        <f>VLOOKUP(B70,'75 - Summary Exhibit'!A:N,11,FALSE)</f>
        <v>0</v>
      </c>
      <c r="N70" s="8">
        <f>VLOOKUP(B70,'75 - Summary Exhibit'!A:N,12,FALSE)</f>
        <v>8630</v>
      </c>
      <c r="O70" s="8">
        <f>VLOOKUP(B70,'75 - Summary Exhibit'!A:N,13,FALSE)</f>
        <v>2059</v>
      </c>
      <c r="P70" s="8">
        <f t="shared" si="24"/>
        <v>10689</v>
      </c>
      <c r="Q70" s="8">
        <f>VLOOKUP(B70,'75- Deferred Amortization'!A:H,3,FALSE)</f>
        <v>-4392</v>
      </c>
      <c r="R70" s="8">
        <f>VLOOKUP(B70,'75- Deferred Amortization'!A:H,4,FALSE)</f>
        <v>-3096</v>
      </c>
      <c r="S70" s="8">
        <f>VLOOKUP(B70,'75- Deferred Amortization'!A:H,5,FALSE)</f>
        <v>3135</v>
      </c>
      <c r="T70" s="8">
        <f>VLOOKUP(B70,'75- Deferred Amortization'!A:H,6,FALSE)</f>
        <v>1700</v>
      </c>
      <c r="U70" s="8">
        <f>VLOOKUP(B70,'75- Deferred Amortization'!A:H,7,FALSE)</f>
        <v>766</v>
      </c>
      <c r="V70" s="8">
        <f>VLOOKUP(B70,'75- Deferred Amortization'!A:H,8,FALSE)</f>
        <v>0</v>
      </c>
      <c r="X70">
        <v>2</v>
      </c>
      <c r="Y70" s="8">
        <f t="shared" si="25"/>
        <v>1</v>
      </c>
      <c r="Z70" s="8">
        <f t="shared" si="26"/>
        <v>1</v>
      </c>
      <c r="AB70" s="8">
        <f>'NOPEB asset change'!F69</f>
        <v>-13484</v>
      </c>
      <c r="AC70" s="8">
        <v>13484</v>
      </c>
      <c r="AD70" s="10">
        <v>11817</v>
      </c>
      <c r="AE70" s="10">
        <v>17612</v>
      </c>
      <c r="AF70" s="10">
        <v>983</v>
      </c>
      <c r="AG70" s="8">
        <v>5822</v>
      </c>
      <c r="AH70" s="8">
        <v>7469</v>
      </c>
      <c r="AI70" s="8">
        <v>0</v>
      </c>
      <c r="AJ70" s="8">
        <v>2302</v>
      </c>
      <c r="AK70" s="8">
        <v>0</v>
      </c>
      <c r="AM70" s="8">
        <f t="shared" ref="AM70:AM88" si="35">I70-AG70</f>
        <v>-1027</v>
      </c>
      <c r="AN70" s="8">
        <f t="shared" si="27"/>
        <v>0</v>
      </c>
      <c r="AO70" s="10">
        <f t="shared" si="28"/>
        <v>-5295</v>
      </c>
      <c r="AP70" s="8">
        <f t="shared" si="29"/>
        <v>11138</v>
      </c>
      <c r="AQ70" s="10">
        <f t="shared" si="30"/>
        <v>-742</v>
      </c>
      <c r="AR70" s="8">
        <f t="shared" si="31"/>
        <v>5235</v>
      </c>
      <c r="AS70" s="8">
        <f t="shared" si="32"/>
        <v>-29661</v>
      </c>
      <c r="AT70" s="10">
        <f t="shared" si="33"/>
        <v>-4912</v>
      </c>
      <c r="AU70" s="8">
        <f t="shared" si="34"/>
        <v>0</v>
      </c>
      <c r="AV70" s="8">
        <f t="shared" ref="AV70:AV88" si="36">AC70+AS70</f>
        <v>-16177</v>
      </c>
    </row>
    <row r="71" spans="1:48" x14ac:dyDescent="0.25">
      <c r="A71" t="s">
        <v>105</v>
      </c>
      <c r="B71">
        <v>38405</v>
      </c>
      <c r="C71" s="8">
        <f>VLOOKUP(B71,'ER Contributions'!A:D,4,FALSE)</f>
        <v>13632</v>
      </c>
      <c r="D71" s="9">
        <f>VLOOKUP(B71,'ER Contributions'!A:D,3,FALSE)</f>
        <v>5.8620000000000005E-4</v>
      </c>
      <c r="E71" s="8">
        <f>VLOOKUP(B71,'75 - Summary Exhibit'!A:N,3,FALSE)</f>
        <v>-19301</v>
      </c>
      <c r="F71" s="10">
        <f>VLOOKUP(B71,'75 - Summary Exhibit'!A:N,4,FALSE)</f>
        <v>7781</v>
      </c>
      <c r="G71" s="10">
        <f>VLOOKUP(B71,'75 - Summary Exhibit'!A:N,5,FALSE)</f>
        <v>15153</v>
      </c>
      <c r="H71" s="10">
        <f>VLOOKUP(B71,'75 - Summary Exhibit'!A:N,6,FALSE)</f>
        <v>288</v>
      </c>
      <c r="I71" s="8">
        <f>VLOOKUP(B71,'75 - Summary Exhibit'!A:N,7,FALSE)</f>
        <v>4220</v>
      </c>
      <c r="J71" s="8">
        <f>VLOOKUP(B71,'75 - Summary Exhibit'!A:N,8,FALSE)</f>
        <v>22201</v>
      </c>
      <c r="K71" s="8">
        <f>VLOOKUP(B71,'75 - Summary Exhibit'!A:N,9,FALSE)</f>
        <v>0</v>
      </c>
      <c r="L71" s="8">
        <f>VLOOKUP(B71,'75 - Summary Exhibit'!A:N,10,FALSE)</f>
        <v>8992</v>
      </c>
      <c r="M71" s="8">
        <f>VLOOKUP(B71,'75 - Summary Exhibit'!A:N,11,FALSE)</f>
        <v>64</v>
      </c>
      <c r="N71" s="8">
        <f>VLOOKUP(B71,'75 - Summary Exhibit'!A:N,12,FALSE)</f>
        <v>10297</v>
      </c>
      <c r="O71" s="8">
        <f>VLOOKUP(B71,'75 - Summary Exhibit'!A:N,13,FALSE)</f>
        <v>933</v>
      </c>
      <c r="P71" s="8">
        <f t="shared" si="24"/>
        <v>11230</v>
      </c>
      <c r="Q71" s="8">
        <f>VLOOKUP(B71,'75- Deferred Amortization'!A:H,3,FALSE)</f>
        <v>-6209</v>
      </c>
      <c r="R71" s="8">
        <f>VLOOKUP(B71,'75- Deferred Amortization'!A:H,4,FALSE)</f>
        <v>-3803</v>
      </c>
      <c r="S71" s="8">
        <f>VLOOKUP(B71,'75- Deferred Amortization'!A:H,5,FALSE)</f>
        <v>3805</v>
      </c>
      <c r="T71" s="8">
        <f>VLOOKUP(B71,'75- Deferred Amortization'!A:H,6,FALSE)</f>
        <v>1550</v>
      </c>
      <c r="U71" s="8">
        <f>VLOOKUP(B71,'75- Deferred Amortization'!A:H,7,FALSE)</f>
        <v>843</v>
      </c>
      <c r="V71" s="8">
        <f>VLOOKUP(B71,'75- Deferred Amortization'!A:H,8,FALSE)</f>
        <v>0</v>
      </c>
      <c r="X71">
        <v>2</v>
      </c>
      <c r="Y71" s="8">
        <f t="shared" si="25"/>
        <v>1</v>
      </c>
      <c r="Z71" s="8">
        <f t="shared" si="26"/>
        <v>-1</v>
      </c>
      <c r="AB71" s="8">
        <f>'NOPEB asset change'!F70</f>
        <v>-16455</v>
      </c>
      <c r="AC71" s="8">
        <v>16455</v>
      </c>
      <c r="AD71" s="10">
        <v>14421</v>
      </c>
      <c r="AE71" s="10">
        <v>21492</v>
      </c>
      <c r="AF71" s="10">
        <v>1199</v>
      </c>
      <c r="AG71" s="8">
        <v>4884</v>
      </c>
      <c r="AH71" s="8">
        <v>9114</v>
      </c>
      <c r="AI71" s="8">
        <v>0</v>
      </c>
      <c r="AJ71" s="8">
        <v>2809</v>
      </c>
      <c r="AK71" s="8">
        <v>535</v>
      </c>
      <c r="AM71" s="8">
        <f t="shared" si="35"/>
        <v>-664</v>
      </c>
      <c r="AN71" s="8">
        <f t="shared" si="27"/>
        <v>-471</v>
      </c>
      <c r="AO71" s="10">
        <f t="shared" si="28"/>
        <v>-6640</v>
      </c>
      <c r="AP71" s="8">
        <f t="shared" si="29"/>
        <v>13087</v>
      </c>
      <c r="AQ71" s="10">
        <f t="shared" si="30"/>
        <v>-911</v>
      </c>
      <c r="AR71" s="8">
        <f t="shared" si="31"/>
        <v>6183</v>
      </c>
      <c r="AS71" s="8">
        <f t="shared" si="32"/>
        <v>-35756</v>
      </c>
      <c r="AT71" s="10">
        <f t="shared" si="33"/>
        <v>-6339</v>
      </c>
      <c r="AU71" s="8">
        <f t="shared" si="34"/>
        <v>0</v>
      </c>
      <c r="AV71" s="8">
        <f t="shared" si="36"/>
        <v>-19301</v>
      </c>
    </row>
    <row r="72" spans="1:48" x14ac:dyDescent="0.25">
      <c r="A72" t="s">
        <v>106</v>
      </c>
      <c r="B72">
        <v>38605</v>
      </c>
      <c r="C72" s="8">
        <f>VLOOKUP(B72,'ER Contributions'!A:D,4,FALSE)</f>
        <v>14571</v>
      </c>
      <c r="D72" s="9">
        <f>VLOOKUP(B72,'ER Contributions'!A:D,3,FALSE)</f>
        <v>6.4599999999999998E-4</v>
      </c>
      <c r="E72" s="8">
        <f>VLOOKUP(B72,'75 - Summary Exhibit'!A:N,3,FALSE)</f>
        <v>-21270</v>
      </c>
      <c r="F72" s="10">
        <f>VLOOKUP(B72,'75 - Summary Exhibit'!A:N,4,FALSE)</f>
        <v>8575</v>
      </c>
      <c r="G72" s="10">
        <f>VLOOKUP(B72,'75 - Summary Exhibit'!A:N,5,FALSE)</f>
        <v>16698</v>
      </c>
      <c r="H72" s="10">
        <f>VLOOKUP(B72,'75 - Summary Exhibit'!A:N,6,FALSE)</f>
        <v>317</v>
      </c>
      <c r="I72" s="8">
        <f>VLOOKUP(B72,'75 - Summary Exhibit'!A:N,7,FALSE)</f>
        <v>3925</v>
      </c>
      <c r="J72" s="8">
        <f>VLOOKUP(B72,'75 - Summary Exhibit'!A:N,8,FALSE)</f>
        <v>24465</v>
      </c>
      <c r="K72" s="8">
        <f>VLOOKUP(B72,'75 - Summary Exhibit'!A:N,9,FALSE)</f>
        <v>0</v>
      </c>
      <c r="L72" s="8">
        <f>VLOOKUP(B72,'75 - Summary Exhibit'!A:N,10,FALSE)</f>
        <v>9910</v>
      </c>
      <c r="M72" s="8">
        <f>VLOOKUP(B72,'75 - Summary Exhibit'!A:N,11,FALSE)</f>
        <v>1837</v>
      </c>
      <c r="N72" s="8">
        <f>VLOOKUP(B72,'75 - Summary Exhibit'!A:N,12,FALSE)</f>
        <v>11347</v>
      </c>
      <c r="O72" s="8">
        <f>VLOOKUP(B72,'75 - Summary Exhibit'!A:N,13,FALSE)</f>
        <v>1716</v>
      </c>
      <c r="P72" s="8">
        <f t="shared" si="24"/>
        <v>13063</v>
      </c>
      <c r="Q72" s="8">
        <f>VLOOKUP(B72,'75- Deferred Amortization'!A:H,3,FALSE)</f>
        <v>-7319</v>
      </c>
      <c r="R72" s="8">
        <f>VLOOKUP(B72,'75- Deferred Amortization'!A:H,4,FALSE)</f>
        <v>-5234</v>
      </c>
      <c r="S72" s="8">
        <f>VLOOKUP(B72,'75- Deferred Amortization'!A:H,5,FALSE)</f>
        <v>3577</v>
      </c>
      <c r="T72" s="8">
        <f>VLOOKUP(B72,'75- Deferred Amortization'!A:H,6,FALSE)</f>
        <v>1629</v>
      </c>
      <c r="U72" s="8">
        <f>VLOOKUP(B72,'75- Deferred Amortization'!A:H,7,FALSE)</f>
        <v>652</v>
      </c>
      <c r="V72" s="8">
        <f>VLOOKUP(B72,'75- Deferred Amortization'!A:H,8,FALSE)</f>
        <v>0</v>
      </c>
      <c r="X72">
        <v>2</v>
      </c>
      <c r="Y72" s="8">
        <f t="shared" si="25"/>
        <v>-1</v>
      </c>
      <c r="Z72" s="8">
        <f t="shared" si="26"/>
        <v>-2</v>
      </c>
      <c r="AB72" s="8">
        <f>'NOPEB asset change'!F71</f>
        <v>-16577</v>
      </c>
      <c r="AC72" s="8">
        <v>16577</v>
      </c>
      <c r="AD72" s="10">
        <v>14528</v>
      </c>
      <c r="AE72" s="10">
        <v>21652</v>
      </c>
      <c r="AF72" s="10">
        <v>1208</v>
      </c>
      <c r="AG72" s="8">
        <v>6127</v>
      </c>
      <c r="AH72" s="8">
        <v>9182</v>
      </c>
      <c r="AI72" s="8">
        <v>0</v>
      </c>
      <c r="AJ72" s="8">
        <v>2830</v>
      </c>
      <c r="AK72" s="8">
        <v>1860</v>
      </c>
      <c r="AM72" s="8">
        <f t="shared" si="35"/>
        <v>-2202</v>
      </c>
      <c r="AN72" s="8">
        <f t="shared" si="27"/>
        <v>-23</v>
      </c>
      <c r="AO72" s="10">
        <f t="shared" si="28"/>
        <v>-5953</v>
      </c>
      <c r="AP72" s="8">
        <f t="shared" si="29"/>
        <v>15283</v>
      </c>
      <c r="AQ72" s="10">
        <f t="shared" si="30"/>
        <v>-891</v>
      </c>
      <c r="AR72" s="8">
        <f t="shared" si="31"/>
        <v>7080</v>
      </c>
      <c r="AS72" s="8">
        <f t="shared" si="32"/>
        <v>-37847</v>
      </c>
      <c r="AT72" s="10">
        <f t="shared" si="33"/>
        <v>-4954</v>
      </c>
      <c r="AU72" s="8">
        <f t="shared" si="34"/>
        <v>0</v>
      </c>
      <c r="AV72" s="8">
        <f t="shared" si="36"/>
        <v>-21270</v>
      </c>
    </row>
    <row r="73" spans="1:48" x14ac:dyDescent="0.25">
      <c r="A73" t="s">
        <v>64</v>
      </c>
      <c r="B73">
        <v>32005</v>
      </c>
      <c r="C73" s="8">
        <f>VLOOKUP(B73,'ER Contributions'!A:D,4,FALSE)</f>
        <v>6611</v>
      </c>
      <c r="D73" s="9">
        <f>VLOOKUP(B73,'ER Contributions'!A:D,3,FALSE)</f>
        <v>3.123E-4</v>
      </c>
      <c r="E73" s="8">
        <f>VLOOKUP(B73,'75 - Summary Exhibit'!A:N,3,FALSE)</f>
        <v>-10283</v>
      </c>
      <c r="F73" s="10">
        <f>VLOOKUP(B73,'75 - Summary Exhibit'!A:N,4,FALSE)</f>
        <v>4145</v>
      </c>
      <c r="G73" s="10">
        <f>VLOOKUP(B73,'75 - Summary Exhibit'!A:N,5,FALSE)</f>
        <v>8073</v>
      </c>
      <c r="H73" s="10">
        <f>VLOOKUP(B73,'75 - Summary Exhibit'!A:N,6,FALSE)</f>
        <v>153</v>
      </c>
      <c r="I73" s="8">
        <f>VLOOKUP(B73,'75 - Summary Exhibit'!A:N,7,FALSE)</f>
        <v>844</v>
      </c>
      <c r="J73" s="8">
        <f>VLOOKUP(B73,'75 - Summary Exhibit'!A:N,8,FALSE)</f>
        <v>11827</v>
      </c>
      <c r="K73" s="8">
        <f>VLOOKUP(B73,'75 - Summary Exhibit'!A:N,9,FALSE)</f>
        <v>0</v>
      </c>
      <c r="L73" s="8">
        <f>VLOOKUP(B73,'75 - Summary Exhibit'!A:N,10,FALSE)</f>
        <v>4791</v>
      </c>
      <c r="M73" s="8">
        <f>VLOOKUP(B73,'75 - Summary Exhibit'!A:N,11,FALSE)</f>
        <v>2354</v>
      </c>
      <c r="N73" s="8">
        <f>VLOOKUP(B73,'75 - Summary Exhibit'!A:N,12,FALSE)</f>
        <v>5486</v>
      </c>
      <c r="O73" s="8">
        <f>VLOOKUP(B73,'75 - Summary Exhibit'!A:N,13,FALSE)</f>
        <v>-220</v>
      </c>
      <c r="P73" s="8">
        <f t="shared" si="24"/>
        <v>5266</v>
      </c>
      <c r="Q73" s="8">
        <f>VLOOKUP(B73,'75- Deferred Amortization'!A:H,3,FALSE)</f>
        <v>-4437</v>
      </c>
      <c r="R73" s="8">
        <f>VLOOKUP(B73,'75- Deferred Amortization'!A:H,4,FALSE)</f>
        <v>-3090</v>
      </c>
      <c r="S73" s="8">
        <f>VLOOKUP(B73,'75- Deferred Amortization'!A:H,5,FALSE)</f>
        <v>1233</v>
      </c>
      <c r="T73" s="8">
        <f>VLOOKUP(B73,'75- Deferred Amortization'!A:H,6,FALSE)</f>
        <v>372</v>
      </c>
      <c r="U73" s="8">
        <f>VLOOKUP(B73,'75- Deferred Amortization'!A:H,7,FALSE)</f>
        <v>166</v>
      </c>
      <c r="V73" s="8">
        <f>VLOOKUP(B73,'75- Deferred Amortization'!A:H,8,FALSE)</f>
        <v>0</v>
      </c>
      <c r="X73">
        <v>2</v>
      </c>
      <c r="Y73" s="8">
        <f t="shared" si="25"/>
        <v>0</v>
      </c>
      <c r="Z73" s="8">
        <f t="shared" si="26"/>
        <v>-1</v>
      </c>
      <c r="AB73" s="8">
        <f>'NOPEB asset change'!F72</f>
        <v>-8468</v>
      </c>
      <c r="AC73" s="8">
        <v>8468</v>
      </c>
      <c r="AD73" s="10">
        <v>7421</v>
      </c>
      <c r="AE73" s="10">
        <v>11061</v>
      </c>
      <c r="AF73" s="10">
        <v>617</v>
      </c>
      <c r="AG73" s="8">
        <v>1319</v>
      </c>
      <c r="AH73" s="8">
        <v>4690</v>
      </c>
      <c r="AI73" s="8">
        <v>0</v>
      </c>
      <c r="AJ73" s="8">
        <v>1446</v>
      </c>
      <c r="AK73" s="8">
        <v>2633</v>
      </c>
      <c r="AM73" s="8">
        <f t="shared" si="35"/>
        <v>-475</v>
      </c>
      <c r="AN73" s="8">
        <f t="shared" si="27"/>
        <v>-279</v>
      </c>
      <c r="AO73" s="10">
        <f t="shared" si="28"/>
        <v>-3276</v>
      </c>
      <c r="AP73" s="8">
        <f t="shared" si="29"/>
        <v>7137</v>
      </c>
      <c r="AQ73" s="10">
        <f t="shared" si="30"/>
        <v>-464</v>
      </c>
      <c r="AR73" s="8">
        <f t="shared" si="31"/>
        <v>3345</v>
      </c>
      <c r="AS73" s="8">
        <f t="shared" si="32"/>
        <v>-18751</v>
      </c>
      <c r="AT73" s="10">
        <f t="shared" si="33"/>
        <v>-2988</v>
      </c>
      <c r="AU73" s="8">
        <f t="shared" si="34"/>
        <v>0</v>
      </c>
      <c r="AV73" s="8">
        <f t="shared" si="36"/>
        <v>-10283</v>
      </c>
    </row>
    <row r="74" spans="1:48" x14ac:dyDescent="0.25">
      <c r="A74" t="s">
        <v>107</v>
      </c>
      <c r="B74">
        <v>39105</v>
      </c>
      <c r="C74" s="8">
        <f>VLOOKUP(B74,'ER Contributions'!A:D,4,FALSE)</f>
        <v>15084</v>
      </c>
      <c r="D74" s="9">
        <f>VLOOKUP(B74,'ER Contributions'!A:D,3,FALSE)</f>
        <v>6.3590000000000001E-4</v>
      </c>
      <c r="E74" s="8">
        <f>VLOOKUP(B74,'75 - Summary Exhibit'!A:N,3,FALSE)</f>
        <v>-20938</v>
      </c>
      <c r="F74" s="10">
        <f>VLOOKUP(B74,'75 - Summary Exhibit'!A:N,4,FALSE)</f>
        <v>8441</v>
      </c>
      <c r="G74" s="10">
        <f>VLOOKUP(B74,'75 - Summary Exhibit'!A:N,5,FALSE)</f>
        <v>16437</v>
      </c>
      <c r="H74" s="10">
        <f>VLOOKUP(B74,'75 - Summary Exhibit'!A:N,6,FALSE)</f>
        <v>312</v>
      </c>
      <c r="I74" s="8">
        <f>VLOOKUP(B74,'75 - Summary Exhibit'!A:N,7,FALSE)</f>
        <v>7982</v>
      </c>
      <c r="J74" s="8">
        <f>VLOOKUP(B74,'75 - Summary Exhibit'!A:N,8,FALSE)</f>
        <v>24083</v>
      </c>
      <c r="K74" s="8">
        <f>VLOOKUP(B74,'75 - Summary Exhibit'!A:N,9,FALSE)</f>
        <v>0</v>
      </c>
      <c r="L74" s="8">
        <f>VLOOKUP(B74,'75 - Summary Exhibit'!A:N,10,FALSE)</f>
        <v>9755</v>
      </c>
      <c r="M74" s="8">
        <f>VLOOKUP(B74,'75 - Summary Exhibit'!A:N,11,FALSE)</f>
        <v>145</v>
      </c>
      <c r="N74" s="8">
        <f>VLOOKUP(B74,'75 - Summary Exhibit'!A:N,12,FALSE)</f>
        <v>11170</v>
      </c>
      <c r="O74" s="8">
        <f>VLOOKUP(B74,'75 - Summary Exhibit'!A:N,13,FALSE)</f>
        <v>4033</v>
      </c>
      <c r="P74" s="8">
        <f t="shared" si="24"/>
        <v>15203</v>
      </c>
      <c r="Q74" s="8">
        <f>VLOOKUP(B74,'75- Deferred Amortization'!A:H,3,FALSE)</f>
        <v>-5583</v>
      </c>
      <c r="R74" s="8">
        <f>VLOOKUP(B74,'75- Deferred Amortization'!A:H,4,FALSE)</f>
        <v>-3248</v>
      </c>
      <c r="S74" s="8">
        <f>VLOOKUP(B74,'75- Deferred Amortization'!A:H,5,FALSE)</f>
        <v>5340</v>
      </c>
      <c r="T74" s="8">
        <f>VLOOKUP(B74,'75- Deferred Amortization'!A:H,6,FALSE)</f>
        <v>1684</v>
      </c>
      <c r="U74" s="8">
        <f>VLOOKUP(B74,'75- Deferred Amortization'!A:H,7,FALSE)</f>
        <v>997</v>
      </c>
      <c r="V74" s="8">
        <f>VLOOKUP(B74,'75- Deferred Amortization'!A:H,8,FALSE)</f>
        <v>0</v>
      </c>
      <c r="X74">
        <v>2</v>
      </c>
      <c r="Y74" s="8">
        <f t="shared" si="25"/>
        <v>-2</v>
      </c>
      <c r="Z74" s="8">
        <f t="shared" si="26"/>
        <v>-1</v>
      </c>
      <c r="AB74" s="8">
        <f>'NOPEB asset change'!F73</f>
        <v>-15372</v>
      </c>
      <c r="AC74" s="8">
        <v>15372</v>
      </c>
      <c r="AD74" s="10">
        <v>13472</v>
      </c>
      <c r="AE74" s="10">
        <v>20079</v>
      </c>
      <c r="AF74" s="10">
        <v>1120</v>
      </c>
      <c r="AG74" s="8">
        <v>12088</v>
      </c>
      <c r="AH74" s="8">
        <v>8515</v>
      </c>
      <c r="AI74" s="8">
        <v>0</v>
      </c>
      <c r="AJ74" s="8">
        <v>2624</v>
      </c>
      <c r="AK74" s="8">
        <v>0</v>
      </c>
      <c r="AM74" s="8">
        <f t="shared" si="35"/>
        <v>-4106</v>
      </c>
      <c r="AN74" s="8">
        <f t="shared" si="27"/>
        <v>145</v>
      </c>
      <c r="AO74" s="10">
        <f t="shared" si="28"/>
        <v>-5031</v>
      </c>
      <c r="AP74" s="8">
        <f t="shared" si="29"/>
        <v>15568</v>
      </c>
      <c r="AQ74" s="10">
        <f t="shared" si="30"/>
        <v>-808</v>
      </c>
      <c r="AR74" s="8">
        <f t="shared" si="31"/>
        <v>7131</v>
      </c>
      <c r="AS74" s="8">
        <f t="shared" si="32"/>
        <v>-36310</v>
      </c>
      <c r="AT74" s="10">
        <f t="shared" si="33"/>
        <v>-3642</v>
      </c>
      <c r="AU74" s="8">
        <f t="shared" si="34"/>
        <v>0</v>
      </c>
      <c r="AV74" s="8">
        <f t="shared" si="36"/>
        <v>-20938</v>
      </c>
    </row>
    <row r="75" spans="1:48" x14ac:dyDescent="0.25">
      <c r="A75" t="s">
        <v>108</v>
      </c>
      <c r="B75">
        <v>39205</v>
      </c>
      <c r="C75" s="8">
        <f>VLOOKUP(B75,'ER Contributions'!A:D,4,FALSE)</f>
        <v>120417</v>
      </c>
      <c r="D75" s="9">
        <f>VLOOKUP(B75,'ER Contributions'!A:D,3,FALSE)</f>
        <v>5.1022000000000003E-3</v>
      </c>
      <c r="E75" s="8">
        <f>VLOOKUP(B75,'75 - Summary Exhibit'!A:N,3,FALSE)</f>
        <v>-167995</v>
      </c>
      <c r="F75" s="10">
        <f>VLOOKUP(B75,'75 - Summary Exhibit'!A:N,4,FALSE)</f>
        <v>67727</v>
      </c>
      <c r="G75" s="10">
        <f>VLOOKUP(B75,'75 - Summary Exhibit'!A:N,5,FALSE)</f>
        <v>131887</v>
      </c>
      <c r="H75" s="10">
        <f>VLOOKUP(B75,'75 - Summary Exhibit'!A:N,6,FALSE)</f>
        <v>2505</v>
      </c>
      <c r="I75" s="8">
        <f>VLOOKUP(B75,'75 - Summary Exhibit'!A:N,7,FALSE)</f>
        <v>14084</v>
      </c>
      <c r="J75" s="8">
        <f>VLOOKUP(B75,'75 - Summary Exhibit'!A:N,8,FALSE)</f>
        <v>193231</v>
      </c>
      <c r="K75" s="8">
        <f>VLOOKUP(B75,'75 - Summary Exhibit'!A:N,9,FALSE)</f>
        <v>0</v>
      </c>
      <c r="L75" s="8">
        <f>VLOOKUP(B75,'75 - Summary Exhibit'!A:N,10,FALSE)</f>
        <v>78268</v>
      </c>
      <c r="M75" s="8">
        <f>VLOOKUP(B75,'75 - Summary Exhibit'!A:N,11,FALSE)</f>
        <v>24859</v>
      </c>
      <c r="N75" s="8">
        <f>VLOOKUP(B75,'75 - Summary Exhibit'!A:N,12,FALSE)</f>
        <v>89620</v>
      </c>
      <c r="O75" s="8">
        <f>VLOOKUP(B75,'75 - Summary Exhibit'!A:N,13,FALSE)</f>
        <v>-2013</v>
      </c>
      <c r="P75" s="8">
        <f t="shared" si="24"/>
        <v>87607</v>
      </c>
      <c r="Q75" s="8">
        <f>VLOOKUP(B75,'75- Deferred Amortization'!A:H,3,FALSE)</f>
        <v>-69145</v>
      </c>
      <c r="R75" s="8">
        <f>VLOOKUP(B75,'75- Deferred Amortization'!A:H,4,FALSE)</f>
        <v>-46562</v>
      </c>
      <c r="S75" s="8">
        <f>VLOOKUP(B75,'75- Deferred Amortization'!A:H,5,FALSE)</f>
        <v>20378</v>
      </c>
      <c r="T75" s="8">
        <f>VLOOKUP(B75,'75- Deferred Amortization'!A:H,6,FALSE)</f>
        <v>10517</v>
      </c>
      <c r="U75" s="8">
        <f>VLOOKUP(B75,'75- Deferred Amortization'!A:H,7,FALSE)</f>
        <v>4658</v>
      </c>
      <c r="V75" s="8">
        <f>VLOOKUP(B75,'75- Deferred Amortization'!A:H,8,FALSE)</f>
        <v>0</v>
      </c>
      <c r="X75">
        <v>2</v>
      </c>
      <c r="Y75" s="8">
        <f t="shared" si="25"/>
        <v>-1</v>
      </c>
      <c r="Z75" s="8">
        <f t="shared" si="26"/>
        <v>-1</v>
      </c>
      <c r="AB75" s="8">
        <f>'NOPEB asset change'!F74</f>
        <v>-135632</v>
      </c>
      <c r="AC75" s="8">
        <v>135632</v>
      </c>
      <c r="AD75" s="10">
        <v>118864</v>
      </c>
      <c r="AE75" s="10">
        <v>177153</v>
      </c>
      <c r="AF75" s="10">
        <v>9883</v>
      </c>
      <c r="AG75" s="8">
        <v>15912</v>
      </c>
      <c r="AH75" s="8">
        <v>75124</v>
      </c>
      <c r="AI75" s="8">
        <v>0</v>
      </c>
      <c r="AJ75" s="8">
        <v>23153</v>
      </c>
      <c r="AK75" s="8">
        <v>32872</v>
      </c>
      <c r="AM75" s="8">
        <f t="shared" si="35"/>
        <v>-1828</v>
      </c>
      <c r="AN75" s="8">
        <f t="shared" si="27"/>
        <v>-8013</v>
      </c>
      <c r="AO75" s="10">
        <f t="shared" si="28"/>
        <v>-51137</v>
      </c>
      <c r="AP75" s="8">
        <f t="shared" si="29"/>
        <v>118107</v>
      </c>
      <c r="AQ75" s="10">
        <f t="shared" si="30"/>
        <v>-7378</v>
      </c>
      <c r="AR75" s="8">
        <f t="shared" si="31"/>
        <v>55115</v>
      </c>
      <c r="AS75" s="8">
        <f t="shared" si="32"/>
        <v>-303627</v>
      </c>
      <c r="AT75" s="10">
        <f t="shared" si="33"/>
        <v>-45266</v>
      </c>
      <c r="AU75" s="8">
        <f t="shared" si="34"/>
        <v>0</v>
      </c>
      <c r="AV75" s="8">
        <f t="shared" si="36"/>
        <v>-167995</v>
      </c>
    </row>
    <row r="76" spans="1:48" x14ac:dyDescent="0.25">
      <c r="A76" t="s">
        <v>109</v>
      </c>
      <c r="B76">
        <v>39605</v>
      </c>
      <c r="C76" s="8">
        <f>VLOOKUP(B76,'ER Contributions'!A:D,4,FALSE)</f>
        <v>16672</v>
      </c>
      <c r="D76" s="9">
        <f>VLOOKUP(B76,'ER Contributions'!A:D,3,FALSE)</f>
        <v>6.9419999999999996E-4</v>
      </c>
      <c r="E76" s="8">
        <f>VLOOKUP(B76,'75 - Summary Exhibit'!A:N,3,FALSE)</f>
        <v>-22857</v>
      </c>
      <c r="F76" s="10">
        <f>VLOOKUP(B76,'75 - Summary Exhibit'!A:N,4,FALSE)</f>
        <v>9215</v>
      </c>
      <c r="G76" s="10">
        <f>VLOOKUP(B76,'75 - Summary Exhibit'!A:N,5,FALSE)</f>
        <v>17944</v>
      </c>
      <c r="H76" s="10">
        <f>VLOOKUP(B76,'75 - Summary Exhibit'!A:N,6,FALSE)</f>
        <v>341</v>
      </c>
      <c r="I76" s="8">
        <f>VLOOKUP(B76,'75 - Summary Exhibit'!A:N,7,FALSE)</f>
        <v>4775</v>
      </c>
      <c r="J76" s="8">
        <f>VLOOKUP(B76,'75 - Summary Exhibit'!A:N,8,FALSE)</f>
        <v>26291</v>
      </c>
      <c r="K76" s="8">
        <f>VLOOKUP(B76,'75 - Summary Exhibit'!A:N,9,FALSE)</f>
        <v>0</v>
      </c>
      <c r="L76" s="8">
        <f>VLOOKUP(B76,'75 - Summary Exhibit'!A:N,10,FALSE)</f>
        <v>10649</v>
      </c>
      <c r="M76" s="8">
        <f>VLOOKUP(B76,'75 - Summary Exhibit'!A:N,11,FALSE)</f>
        <v>1191</v>
      </c>
      <c r="N76" s="8">
        <f>VLOOKUP(B76,'75 - Summary Exhibit'!A:N,12,FALSE)</f>
        <v>12194</v>
      </c>
      <c r="O76" s="8">
        <f>VLOOKUP(B76,'75 - Summary Exhibit'!A:N,13,FALSE)</f>
        <v>1849</v>
      </c>
      <c r="P76" s="8">
        <f t="shared" si="24"/>
        <v>14043</v>
      </c>
      <c r="Q76" s="8">
        <f>VLOOKUP(B76,'75- Deferred Amortization'!A:H,3,FALSE)</f>
        <v>-6951</v>
      </c>
      <c r="R76" s="8">
        <f>VLOOKUP(B76,'75- Deferred Amortization'!A:H,4,FALSE)</f>
        <v>-4931</v>
      </c>
      <c r="S76" s="8">
        <f>VLOOKUP(B76,'75- Deferred Amortization'!A:H,5,FALSE)</f>
        <v>3831</v>
      </c>
      <c r="T76" s="8">
        <f>VLOOKUP(B76,'75- Deferred Amortization'!A:H,6,FALSE)</f>
        <v>1443</v>
      </c>
      <c r="U76" s="8">
        <f>VLOOKUP(B76,'75- Deferred Amortization'!A:H,7,FALSE)</f>
        <v>753</v>
      </c>
      <c r="V76" s="8">
        <f>VLOOKUP(B76,'75- Deferred Amortization'!A:H,8,FALSE)</f>
        <v>0</v>
      </c>
      <c r="X76">
        <v>2</v>
      </c>
      <c r="Y76" s="8">
        <f t="shared" si="25"/>
        <v>0</v>
      </c>
      <c r="Z76" s="8">
        <f t="shared" si="26"/>
        <v>-1</v>
      </c>
      <c r="AB76" s="8">
        <f>'NOPEB asset change'!F75</f>
        <v>-19865</v>
      </c>
      <c r="AC76" s="8">
        <v>19865</v>
      </c>
      <c r="AD76" s="10">
        <v>17409</v>
      </c>
      <c r="AE76" s="10">
        <v>25946</v>
      </c>
      <c r="AF76" s="10">
        <v>1447</v>
      </c>
      <c r="AG76" s="8">
        <v>5398</v>
      </c>
      <c r="AH76" s="8">
        <v>11003</v>
      </c>
      <c r="AI76" s="8">
        <v>0</v>
      </c>
      <c r="AJ76" s="8">
        <v>3391</v>
      </c>
      <c r="AK76" s="8">
        <v>1569</v>
      </c>
      <c r="AM76" s="8">
        <f t="shared" si="35"/>
        <v>-623</v>
      </c>
      <c r="AN76" s="8">
        <f t="shared" si="27"/>
        <v>-378</v>
      </c>
      <c r="AO76" s="10">
        <f t="shared" si="28"/>
        <v>-8194</v>
      </c>
      <c r="AP76" s="8">
        <f t="shared" si="29"/>
        <v>15288</v>
      </c>
      <c r="AQ76" s="10">
        <f t="shared" si="30"/>
        <v>-1106</v>
      </c>
      <c r="AR76" s="8">
        <f t="shared" si="31"/>
        <v>7258</v>
      </c>
      <c r="AS76" s="8">
        <f t="shared" si="32"/>
        <v>-42722</v>
      </c>
      <c r="AT76" s="10">
        <f t="shared" si="33"/>
        <v>-8002</v>
      </c>
      <c r="AU76" s="8">
        <f t="shared" si="34"/>
        <v>0</v>
      </c>
      <c r="AV76" s="8">
        <f t="shared" si="36"/>
        <v>-22857</v>
      </c>
    </row>
    <row r="77" spans="1:48" x14ac:dyDescent="0.25">
      <c r="A77" t="s">
        <v>60</v>
      </c>
      <c r="B77">
        <v>31205</v>
      </c>
      <c r="C77" s="8">
        <f>VLOOKUP(B77,'ER Contributions'!A:D,4,FALSE)</f>
        <v>10255</v>
      </c>
      <c r="D77" s="9">
        <f>VLOOKUP(B77,'ER Contributions'!A:D,3,FALSE)</f>
        <v>3.7070000000000001E-4</v>
      </c>
      <c r="E77" s="8">
        <f>VLOOKUP(B77,'75 - Summary Exhibit'!A:N,3,FALSE)</f>
        <v>-12206</v>
      </c>
      <c r="F77" s="10">
        <f>VLOOKUP(B77,'75 - Summary Exhibit'!A:N,4,FALSE)</f>
        <v>4921</v>
      </c>
      <c r="G77" s="10">
        <f>VLOOKUP(B77,'75 - Summary Exhibit'!A:N,5,FALSE)</f>
        <v>9582</v>
      </c>
      <c r="H77" s="10">
        <f>VLOOKUP(B77,'75 - Summary Exhibit'!A:N,6,FALSE)</f>
        <v>182</v>
      </c>
      <c r="I77" s="8">
        <f>VLOOKUP(B77,'75 - Summary Exhibit'!A:N,7,FALSE)</f>
        <v>5928</v>
      </c>
      <c r="J77" s="8">
        <f>VLOOKUP(B77,'75 - Summary Exhibit'!A:N,8,FALSE)</f>
        <v>14039</v>
      </c>
      <c r="K77" s="8">
        <f>VLOOKUP(B77,'75 - Summary Exhibit'!A:N,9,FALSE)</f>
        <v>0</v>
      </c>
      <c r="L77" s="8">
        <f>VLOOKUP(B77,'75 - Summary Exhibit'!A:N,10,FALSE)</f>
        <v>5687</v>
      </c>
      <c r="M77" s="8">
        <f>VLOOKUP(B77,'75 - Summary Exhibit'!A:N,11,FALSE)</f>
        <v>328</v>
      </c>
      <c r="N77" s="8">
        <f>VLOOKUP(B77,'75 - Summary Exhibit'!A:N,12,FALSE)</f>
        <v>6511</v>
      </c>
      <c r="O77" s="8">
        <f>VLOOKUP(B77,'75 - Summary Exhibit'!A:N,13,FALSE)</f>
        <v>2743</v>
      </c>
      <c r="P77" s="8">
        <f t="shared" si="24"/>
        <v>9254</v>
      </c>
      <c r="Q77" s="8">
        <f>VLOOKUP(B77,'75- Deferred Amortization'!A:H,3,FALSE)</f>
        <v>-2389</v>
      </c>
      <c r="R77" s="8">
        <f>VLOOKUP(B77,'75- Deferred Amortization'!A:H,4,FALSE)</f>
        <v>-1442</v>
      </c>
      <c r="S77" s="8">
        <f>VLOOKUP(B77,'75- Deferred Amortization'!A:H,5,FALSE)</f>
        <v>2822</v>
      </c>
      <c r="T77" s="8">
        <f>VLOOKUP(B77,'75- Deferred Amortization'!A:H,6,FALSE)</f>
        <v>1104</v>
      </c>
      <c r="U77" s="8">
        <f>VLOOKUP(B77,'75- Deferred Amortization'!A:H,7,FALSE)</f>
        <v>464</v>
      </c>
      <c r="V77" s="8">
        <f>VLOOKUP(B77,'75- Deferred Amortization'!A:H,8,FALSE)</f>
        <v>0</v>
      </c>
      <c r="X77">
        <v>2</v>
      </c>
      <c r="Y77" s="8">
        <f t="shared" si="25"/>
        <v>0</v>
      </c>
      <c r="Z77" s="8">
        <f t="shared" si="26"/>
        <v>0</v>
      </c>
      <c r="AB77" s="8">
        <f>'NOPEB asset change'!F76</f>
        <v>-10423</v>
      </c>
      <c r="AC77" s="8">
        <v>10423</v>
      </c>
      <c r="AD77" s="10">
        <v>9134</v>
      </c>
      <c r="AE77" s="10">
        <v>13614</v>
      </c>
      <c r="AF77" s="10">
        <v>760</v>
      </c>
      <c r="AG77" s="8">
        <v>6625</v>
      </c>
      <c r="AH77" s="8">
        <v>5773</v>
      </c>
      <c r="AI77" s="8">
        <v>0</v>
      </c>
      <c r="AJ77" s="8">
        <v>1779</v>
      </c>
      <c r="AK77" s="8">
        <v>394</v>
      </c>
      <c r="AM77" s="8">
        <f t="shared" si="35"/>
        <v>-697</v>
      </c>
      <c r="AN77" s="8">
        <f t="shared" si="27"/>
        <v>-66</v>
      </c>
      <c r="AO77" s="10">
        <f t="shared" si="28"/>
        <v>-4213</v>
      </c>
      <c r="AP77" s="8">
        <f t="shared" si="29"/>
        <v>8266</v>
      </c>
      <c r="AQ77" s="10">
        <f t="shared" si="30"/>
        <v>-578</v>
      </c>
      <c r="AR77" s="8">
        <f t="shared" si="31"/>
        <v>3908</v>
      </c>
      <c r="AS77" s="8">
        <f t="shared" si="32"/>
        <v>-22629</v>
      </c>
      <c r="AT77" s="10">
        <f t="shared" si="33"/>
        <v>-4032</v>
      </c>
      <c r="AU77" s="8">
        <f t="shared" si="34"/>
        <v>0</v>
      </c>
      <c r="AV77" s="8">
        <f t="shared" si="36"/>
        <v>-12206</v>
      </c>
    </row>
    <row r="78" spans="1:48" x14ac:dyDescent="0.25">
      <c r="A78" t="s">
        <v>110</v>
      </c>
      <c r="B78">
        <v>39705</v>
      </c>
      <c r="C78" s="8">
        <f>VLOOKUP(B78,'ER Contributions'!A:D,4,FALSE)</f>
        <v>17029</v>
      </c>
      <c r="D78" s="9">
        <f>VLOOKUP(B78,'ER Contributions'!A:D,3,FALSE)</f>
        <v>7.5969999999999998E-4</v>
      </c>
      <c r="E78" s="8">
        <f>VLOOKUP(B78,'75 - Summary Exhibit'!A:N,3,FALSE)</f>
        <v>-25014</v>
      </c>
      <c r="F78" s="10">
        <f>VLOOKUP(B78,'75 - Summary Exhibit'!A:N,4,FALSE)</f>
        <v>10084</v>
      </c>
      <c r="G78" s="10">
        <f>VLOOKUP(B78,'75 - Summary Exhibit'!A:N,5,FALSE)</f>
        <v>19637</v>
      </c>
      <c r="H78" s="10">
        <f>VLOOKUP(B78,'75 - Summary Exhibit'!A:N,6,FALSE)</f>
        <v>373</v>
      </c>
      <c r="I78" s="8">
        <f>VLOOKUP(B78,'75 - Summary Exhibit'!A:N,7,FALSE)</f>
        <v>2051</v>
      </c>
      <c r="J78" s="8">
        <f>VLOOKUP(B78,'75 - Summary Exhibit'!A:N,8,FALSE)</f>
        <v>28771</v>
      </c>
      <c r="K78" s="8">
        <f>VLOOKUP(B78,'75 - Summary Exhibit'!A:N,9,FALSE)</f>
        <v>0</v>
      </c>
      <c r="L78" s="8">
        <f>VLOOKUP(B78,'75 - Summary Exhibit'!A:N,10,FALSE)</f>
        <v>11654</v>
      </c>
      <c r="M78" s="8">
        <f>VLOOKUP(B78,'75 - Summary Exhibit'!A:N,11,FALSE)</f>
        <v>682</v>
      </c>
      <c r="N78" s="8">
        <f>VLOOKUP(B78,'75 - Summary Exhibit'!A:N,12,FALSE)</f>
        <v>13344</v>
      </c>
      <c r="O78" s="8">
        <f>VLOOKUP(B78,'75 - Summary Exhibit'!A:N,13,FALSE)</f>
        <v>714</v>
      </c>
      <c r="P78" s="8">
        <f t="shared" si="24"/>
        <v>14058</v>
      </c>
      <c r="Q78" s="8">
        <f>VLOOKUP(B78,'75- Deferred Amortization'!A:H,3,FALSE)</f>
        <v>-9428</v>
      </c>
      <c r="R78" s="8">
        <f>VLOOKUP(B78,'75- Deferred Amortization'!A:H,4,FALSE)</f>
        <v>-6571</v>
      </c>
      <c r="S78" s="8">
        <f>VLOOKUP(B78,'75- Deferred Amortization'!A:H,5,FALSE)</f>
        <v>3674</v>
      </c>
      <c r="T78" s="8">
        <f>VLOOKUP(B78,'75- Deferred Amortization'!A:H,6,FALSE)</f>
        <v>2122</v>
      </c>
      <c r="U78" s="8">
        <f>VLOOKUP(B78,'75- Deferred Amortization'!A:H,7,FALSE)</f>
        <v>1240</v>
      </c>
      <c r="V78" s="8">
        <f>VLOOKUP(B78,'75- Deferred Amortization'!A:H,8,FALSE)</f>
        <v>0</v>
      </c>
      <c r="X78">
        <v>2</v>
      </c>
      <c r="Y78" s="8">
        <f t="shared" si="25"/>
        <v>-1</v>
      </c>
      <c r="Z78" s="8">
        <f t="shared" si="26"/>
        <v>1</v>
      </c>
      <c r="AB78" s="8">
        <f>'NOPEB asset change'!F77</f>
        <v>-20349</v>
      </c>
      <c r="AC78" s="8">
        <v>20349</v>
      </c>
      <c r="AD78" s="10">
        <v>17833</v>
      </c>
      <c r="AE78" s="10">
        <v>26578</v>
      </c>
      <c r="AF78" s="10">
        <v>1483</v>
      </c>
      <c r="AG78" s="8">
        <v>3015</v>
      </c>
      <c r="AH78" s="8">
        <v>11271</v>
      </c>
      <c r="AI78" s="8">
        <v>0</v>
      </c>
      <c r="AJ78" s="8">
        <v>3474</v>
      </c>
      <c r="AK78" s="8">
        <v>733</v>
      </c>
      <c r="AM78" s="8">
        <f t="shared" si="35"/>
        <v>-964</v>
      </c>
      <c r="AN78" s="8">
        <f t="shared" si="27"/>
        <v>-51</v>
      </c>
      <c r="AO78" s="10">
        <f t="shared" si="28"/>
        <v>-7749</v>
      </c>
      <c r="AP78" s="8">
        <f t="shared" si="29"/>
        <v>17500</v>
      </c>
      <c r="AQ78" s="10">
        <f t="shared" si="30"/>
        <v>-1110</v>
      </c>
      <c r="AR78" s="8">
        <f t="shared" si="31"/>
        <v>8180</v>
      </c>
      <c r="AS78" s="8">
        <f t="shared" si="32"/>
        <v>-45363</v>
      </c>
      <c r="AT78" s="10">
        <f t="shared" si="33"/>
        <v>-6941</v>
      </c>
      <c r="AU78" s="8">
        <f t="shared" si="34"/>
        <v>0</v>
      </c>
      <c r="AV78" s="8">
        <f t="shared" si="36"/>
        <v>-25014</v>
      </c>
    </row>
    <row r="79" spans="1:48" x14ac:dyDescent="0.25">
      <c r="A79" t="s">
        <v>111</v>
      </c>
      <c r="B79">
        <v>39805</v>
      </c>
      <c r="C79" s="8">
        <f>VLOOKUP(B79,'ER Contributions'!A:D,4,FALSE)</f>
        <v>9312</v>
      </c>
      <c r="D79" s="9">
        <f>VLOOKUP(B79,'ER Contributions'!A:D,3,FALSE)</f>
        <v>3.8840000000000001E-4</v>
      </c>
      <c r="E79" s="8">
        <f>VLOOKUP(B79,'75 - Summary Exhibit'!A:N,3,FALSE)</f>
        <v>-12788</v>
      </c>
      <c r="F79" s="10">
        <f>VLOOKUP(B79,'75 - Summary Exhibit'!A:N,4,FALSE)</f>
        <v>5156</v>
      </c>
      <c r="G79" s="10">
        <f>VLOOKUP(B79,'75 - Summary Exhibit'!A:N,5,FALSE)</f>
        <v>10040</v>
      </c>
      <c r="H79" s="10">
        <f>VLOOKUP(B79,'75 - Summary Exhibit'!A:N,6,FALSE)</f>
        <v>191</v>
      </c>
      <c r="I79" s="8">
        <f>VLOOKUP(B79,'75 - Summary Exhibit'!A:N,7,FALSE)</f>
        <v>2230</v>
      </c>
      <c r="J79" s="8">
        <f>VLOOKUP(B79,'75 - Summary Exhibit'!A:N,8,FALSE)</f>
        <v>14709</v>
      </c>
      <c r="K79" s="8">
        <f>VLOOKUP(B79,'75 - Summary Exhibit'!A:N,9,FALSE)</f>
        <v>0</v>
      </c>
      <c r="L79" s="8">
        <f>VLOOKUP(B79,'75 - Summary Exhibit'!A:N,10,FALSE)</f>
        <v>5958</v>
      </c>
      <c r="M79" s="8">
        <f>VLOOKUP(B79,'75 - Summary Exhibit'!A:N,11,FALSE)</f>
        <v>27</v>
      </c>
      <c r="N79" s="8">
        <f>VLOOKUP(B79,'75 - Summary Exhibit'!A:N,12,FALSE)</f>
        <v>6822</v>
      </c>
      <c r="O79" s="8">
        <f>VLOOKUP(B79,'75 - Summary Exhibit'!A:N,13,FALSE)</f>
        <v>1451</v>
      </c>
      <c r="P79" s="8">
        <f t="shared" si="24"/>
        <v>8273</v>
      </c>
      <c r="Q79" s="8">
        <f>VLOOKUP(B79,'75- Deferred Amortization'!A:H,3,FALSE)</f>
        <v>-4102</v>
      </c>
      <c r="R79" s="8">
        <f>VLOOKUP(B79,'75- Deferred Amortization'!A:H,4,FALSE)</f>
        <v>-2936</v>
      </c>
      <c r="S79" s="8">
        <f>VLOOKUP(B79,'75- Deferred Amortization'!A:H,5,FALSE)</f>
        <v>2203</v>
      </c>
      <c r="T79" s="8">
        <f>VLOOKUP(B79,'75- Deferred Amortization'!A:H,6,FALSE)</f>
        <v>1176</v>
      </c>
      <c r="U79" s="8">
        <f>VLOOKUP(B79,'75- Deferred Amortization'!A:H,7,FALSE)</f>
        <v>580</v>
      </c>
      <c r="V79" s="8">
        <f>VLOOKUP(B79,'75- Deferred Amortization'!A:H,8,FALSE)</f>
        <v>0</v>
      </c>
      <c r="X79">
        <v>2</v>
      </c>
      <c r="Y79" s="8">
        <f t="shared" si="25"/>
        <v>0</v>
      </c>
      <c r="Z79" s="8">
        <f t="shared" si="26"/>
        <v>2</v>
      </c>
      <c r="AB79" s="8">
        <f>'NOPEB asset change'!F78</f>
        <v>-9771</v>
      </c>
      <c r="AC79" s="8">
        <v>9771</v>
      </c>
      <c r="AD79" s="10">
        <v>8563</v>
      </c>
      <c r="AE79" s="10">
        <v>12763</v>
      </c>
      <c r="AF79" s="10">
        <v>712</v>
      </c>
      <c r="AG79" s="8">
        <v>3520</v>
      </c>
      <c r="AH79" s="8">
        <v>5412</v>
      </c>
      <c r="AI79" s="8">
        <v>0</v>
      </c>
      <c r="AJ79" s="8">
        <v>1668</v>
      </c>
      <c r="AK79" s="8">
        <v>35</v>
      </c>
      <c r="AM79" s="8">
        <f t="shared" si="35"/>
        <v>-1290</v>
      </c>
      <c r="AN79" s="8">
        <f t="shared" si="27"/>
        <v>-8</v>
      </c>
      <c r="AO79" s="10">
        <f t="shared" si="28"/>
        <v>-3407</v>
      </c>
      <c r="AP79" s="8">
        <f t="shared" si="29"/>
        <v>9297</v>
      </c>
      <c r="AQ79" s="10">
        <f t="shared" si="30"/>
        <v>-521</v>
      </c>
      <c r="AR79" s="8">
        <f t="shared" si="31"/>
        <v>4290</v>
      </c>
      <c r="AS79" s="8">
        <f t="shared" si="32"/>
        <v>-22559</v>
      </c>
      <c r="AT79" s="10">
        <f t="shared" si="33"/>
        <v>-2723</v>
      </c>
      <c r="AU79" s="8">
        <f t="shared" si="34"/>
        <v>0</v>
      </c>
      <c r="AV79" s="8">
        <f t="shared" si="36"/>
        <v>-12788</v>
      </c>
    </row>
    <row r="80" spans="1:48" x14ac:dyDescent="0.25">
      <c r="A80" t="s">
        <v>112</v>
      </c>
      <c r="B80">
        <v>11310</v>
      </c>
      <c r="C80" s="8">
        <f>VLOOKUP(B80,'ER Contributions'!A:D,4,FALSE)</f>
        <v>13002</v>
      </c>
      <c r="D80" s="9">
        <f>VLOOKUP(B80,'ER Contributions'!A:D,3,FALSE)</f>
        <v>5.0589999999999999E-4</v>
      </c>
      <c r="E80" s="8">
        <f>VLOOKUP(B80,'75 - Summary Exhibit'!A:N,3,FALSE)</f>
        <v>-16657</v>
      </c>
      <c r="F80" s="10">
        <f>VLOOKUP(B80,'75 - Summary Exhibit'!A:N,4,FALSE)</f>
        <v>6715</v>
      </c>
      <c r="G80" s="10">
        <f>VLOOKUP(B80,'75 - Summary Exhibit'!A:N,5,FALSE)</f>
        <v>13077</v>
      </c>
      <c r="H80" s="10">
        <f>VLOOKUP(B80,'75 - Summary Exhibit'!A:N,6,FALSE)</f>
        <v>248</v>
      </c>
      <c r="I80" s="8">
        <f>VLOOKUP(B80,'75 - Summary Exhibit'!A:N,7,FALSE)</f>
        <v>3433</v>
      </c>
      <c r="J80" s="8">
        <f>VLOOKUP(B80,'75 - Summary Exhibit'!A:N,8,FALSE)</f>
        <v>19159</v>
      </c>
      <c r="K80" s="8">
        <f>VLOOKUP(B80,'75 - Summary Exhibit'!A:N,9,FALSE)</f>
        <v>0</v>
      </c>
      <c r="L80" s="8">
        <f>VLOOKUP(B80,'75 - Summary Exhibit'!A:N,10,FALSE)</f>
        <v>7761</v>
      </c>
      <c r="M80" s="8">
        <f>VLOOKUP(B80,'75 - Summary Exhibit'!A:N,11,FALSE)</f>
        <v>337</v>
      </c>
      <c r="N80" s="8">
        <f>VLOOKUP(B80,'75 - Summary Exhibit'!A:N,12,FALSE)</f>
        <v>8886</v>
      </c>
      <c r="O80" s="8">
        <f>VLOOKUP(B80,'75 - Summary Exhibit'!A:N,13,FALSE)</f>
        <v>1303</v>
      </c>
      <c r="P80" s="8">
        <f t="shared" si="24"/>
        <v>10189</v>
      </c>
      <c r="Q80" s="8">
        <f>VLOOKUP(B80,'75- Deferred Amortization'!A:H,3,FALSE)</f>
        <v>-5049</v>
      </c>
      <c r="R80" s="8">
        <f>VLOOKUP(B80,'75- Deferred Amortization'!A:H,4,FALSE)</f>
        <v>-3473</v>
      </c>
      <c r="S80" s="8">
        <f>VLOOKUP(B80,'75- Deferred Amortization'!A:H,5,FALSE)</f>
        <v>2870</v>
      </c>
      <c r="T80" s="8">
        <f>VLOOKUP(B80,'75- Deferred Amortization'!A:H,6,FALSE)</f>
        <v>1218</v>
      </c>
      <c r="U80" s="8">
        <f>VLOOKUP(B80,'75- Deferred Amortization'!A:H,7,FALSE)</f>
        <v>651</v>
      </c>
      <c r="V80" s="8">
        <f>VLOOKUP(B80,'75- Deferred Amortization'!A:H,8,FALSE)</f>
        <v>0</v>
      </c>
      <c r="X80">
        <v>3</v>
      </c>
      <c r="Y80" s="8">
        <f t="shared" si="25"/>
        <v>-1</v>
      </c>
      <c r="Z80" s="8">
        <f t="shared" si="26"/>
        <v>-1</v>
      </c>
      <c r="AB80" s="8">
        <f>'NOPEB asset change'!F79</f>
        <v>-13133</v>
      </c>
      <c r="AC80" s="8">
        <v>13133</v>
      </c>
      <c r="AD80" s="10">
        <v>11509</v>
      </c>
      <c r="AE80" s="10">
        <v>17154</v>
      </c>
      <c r="AF80" s="10">
        <v>957</v>
      </c>
      <c r="AG80" s="8">
        <v>3658</v>
      </c>
      <c r="AH80" s="8">
        <v>7274</v>
      </c>
      <c r="AI80" s="8">
        <v>0</v>
      </c>
      <c r="AJ80" s="8">
        <v>2242</v>
      </c>
      <c r="AK80" s="8">
        <v>568</v>
      </c>
      <c r="AM80" s="8">
        <f t="shared" si="35"/>
        <v>-225</v>
      </c>
      <c r="AN80" s="8">
        <f t="shared" si="27"/>
        <v>-231</v>
      </c>
      <c r="AO80" s="10">
        <f t="shared" si="28"/>
        <v>-4794</v>
      </c>
      <c r="AP80" s="8">
        <f t="shared" si="29"/>
        <v>11885</v>
      </c>
      <c r="AQ80" s="10">
        <f t="shared" si="30"/>
        <v>-709</v>
      </c>
      <c r="AR80" s="8">
        <f t="shared" si="31"/>
        <v>5519</v>
      </c>
      <c r="AS80" s="8">
        <f t="shared" si="32"/>
        <v>-29790</v>
      </c>
      <c r="AT80" s="10">
        <f t="shared" si="33"/>
        <v>-4077</v>
      </c>
      <c r="AU80" s="8">
        <f t="shared" si="34"/>
        <v>0</v>
      </c>
      <c r="AV80" s="8">
        <f t="shared" si="36"/>
        <v>-16657</v>
      </c>
    </row>
    <row r="81" spans="1:48" x14ac:dyDescent="0.25">
      <c r="A81" s="245" t="s">
        <v>163</v>
      </c>
      <c r="B81">
        <v>14300.2</v>
      </c>
      <c r="C81" s="8">
        <f>VLOOKUP(B81,'ER Contributions'!A:D,4,FALSE)</f>
        <v>4293</v>
      </c>
      <c r="D81" s="9">
        <f>VLOOKUP(B81,'ER Contributions'!A:D,3,FALSE)</f>
        <v>1.4889999999999999E-4</v>
      </c>
      <c r="E81" s="8">
        <f>VLOOKUP(B81,'75 - Summary Exhibit'!A:N,3,FALSE)</f>
        <v>-4903</v>
      </c>
      <c r="F81" s="10">
        <f>VLOOKUP(B81,'75 - Summary Exhibit'!A:N,4,FALSE)</f>
        <v>1976</v>
      </c>
      <c r="G81" s="10">
        <f>VLOOKUP(B81,'75 - Summary Exhibit'!A:N,5,FALSE)</f>
        <v>3849</v>
      </c>
      <c r="H81" s="10">
        <f>VLOOKUP(B81,'75 - Summary Exhibit'!A:N,6,FALSE)</f>
        <v>73</v>
      </c>
      <c r="I81" s="8">
        <f>VLOOKUP(B81,'75 - Summary Exhibit'!A:N,7,FALSE)</f>
        <v>12747</v>
      </c>
      <c r="J81" s="8">
        <f>VLOOKUP(B81,'75 - Summary Exhibit'!A:N,8,FALSE)</f>
        <v>5639</v>
      </c>
      <c r="K81" s="8">
        <f>VLOOKUP(B81,'75 - Summary Exhibit'!A:N,9,FALSE)</f>
        <v>0</v>
      </c>
      <c r="L81" s="8">
        <f>VLOOKUP(B81,'75 - Summary Exhibit'!A:N,10,FALSE)</f>
        <v>2284</v>
      </c>
      <c r="M81" s="8">
        <f>VLOOKUP(B81,'75 - Summary Exhibit'!A:N,11,FALSE)</f>
        <v>2541</v>
      </c>
      <c r="N81" s="8">
        <f>VLOOKUP(B81,'75 - Summary Exhibit'!A:N,12,FALSE)</f>
        <v>2615</v>
      </c>
      <c r="O81" s="8">
        <f>VLOOKUP(B81,'75 - Summary Exhibit'!A:N,13,FALSE)</f>
        <v>6681</v>
      </c>
      <c r="P81" s="8">
        <f t="shared" ref="P81:P85" si="37">N81+O81</f>
        <v>9296</v>
      </c>
      <c r="Q81" s="8">
        <f>VLOOKUP(B81,'75- Deferred Amortization'!A:H,3,FALSE)</f>
        <v>4303</v>
      </c>
      <c r="R81" s="8">
        <f>VLOOKUP(B81,'75- Deferred Amortization'!A:H,4,FALSE)</f>
        <v>2275</v>
      </c>
      <c r="S81" s="8">
        <f>VLOOKUP(B81,'75- Deferred Amortization'!A:H,5,FALSE)</f>
        <v>924</v>
      </c>
      <c r="T81" s="8">
        <f>VLOOKUP(B81,'75- Deferred Amortization'!A:H,6,FALSE)</f>
        <v>373</v>
      </c>
      <c r="U81" s="8">
        <f>VLOOKUP(B81,'75- Deferred Amortization'!A:H,7,FALSE)</f>
        <v>307</v>
      </c>
      <c r="V81" s="8">
        <f>VLOOKUP(B81,'75- Deferred Amortization'!A:H,8,FALSE)</f>
        <v>0</v>
      </c>
      <c r="X81">
        <v>3</v>
      </c>
      <c r="Y81" s="8">
        <f>ROUND(((F81-AD81)+(G81-AE81)+(H81-AF81)+(I81-AG81)+(AI81-K81)+P81-(E81-AC81)-(J81-AH81)-(L81-AJ81)-(M81-AK81)-C81),0)</f>
        <v>8709</v>
      </c>
      <c r="Z81" s="8">
        <f t="shared" si="26"/>
        <v>-1</v>
      </c>
      <c r="AB81" s="8">
        <f>'NOPEB asset change'!F80</f>
        <v>-4729</v>
      </c>
      <c r="AC81" s="8">
        <v>4729</v>
      </c>
      <c r="AD81" s="10">
        <v>4144</v>
      </c>
      <c r="AE81" s="10">
        <v>6176</v>
      </c>
      <c r="AF81" s="10">
        <v>345</v>
      </c>
      <c r="AG81" s="8">
        <v>10236</v>
      </c>
      <c r="AH81" s="8">
        <v>2619</v>
      </c>
      <c r="AI81" s="8">
        <v>0</v>
      </c>
      <c r="AJ81" s="8">
        <v>807</v>
      </c>
      <c r="AK81" s="8">
        <v>3368</v>
      </c>
      <c r="AM81" s="8">
        <f t="shared" si="35"/>
        <v>2511</v>
      </c>
      <c r="AN81" s="8">
        <f t="shared" si="27"/>
        <v>-827</v>
      </c>
      <c r="AO81" s="10">
        <f t="shared" si="28"/>
        <v>-2168</v>
      </c>
      <c r="AP81" s="8">
        <f t="shared" si="29"/>
        <v>3020</v>
      </c>
      <c r="AQ81" s="10">
        <f t="shared" si="30"/>
        <v>-272</v>
      </c>
      <c r="AR81" s="8">
        <f t="shared" si="31"/>
        <v>1477</v>
      </c>
      <c r="AS81" s="8">
        <f t="shared" si="32"/>
        <v>-9632</v>
      </c>
      <c r="AT81" s="10">
        <f t="shared" si="33"/>
        <v>-2327</v>
      </c>
      <c r="AU81" s="8">
        <f t="shared" si="34"/>
        <v>0</v>
      </c>
      <c r="AV81" s="8">
        <f t="shared" si="36"/>
        <v>-4903</v>
      </c>
    </row>
    <row r="82" spans="1:48" x14ac:dyDescent="0.25">
      <c r="A82" s="2" t="s">
        <v>244</v>
      </c>
      <c r="B82">
        <v>21525</v>
      </c>
      <c r="C82" s="8">
        <f>VLOOKUP(B82,'ER Contributions'!A:D,4,FALSE)</f>
        <v>43039</v>
      </c>
      <c r="D82" s="9">
        <f>VLOOKUP(B82,'ER Contributions'!A:D,3,FALSE)</f>
        <v>2.1362999999999998E-3</v>
      </c>
      <c r="E82" s="8">
        <f>VLOOKUP(B82,'75 - Summary Exhibit'!A:N,3,FALSE)</f>
        <v>-70340</v>
      </c>
      <c r="F82" s="10">
        <f>VLOOKUP(B82,'75 - Summary Exhibit'!A:N,4,FALSE)</f>
        <v>28357</v>
      </c>
      <c r="G82" s="10">
        <f>VLOOKUP(B82,'75 - Summary Exhibit'!A:N,5,FALSE)</f>
        <v>55221</v>
      </c>
      <c r="H82" s="10">
        <f>VLOOKUP(B82,'75 - Summary Exhibit'!A:N,6,FALSE)</f>
        <v>1049</v>
      </c>
      <c r="I82" s="8">
        <f>VLOOKUP(B82,'75 - Summary Exhibit'!A:N,7,FALSE)</f>
        <v>6532</v>
      </c>
      <c r="J82" s="8">
        <f>VLOOKUP(B82,'75 - Summary Exhibit'!A:N,8,FALSE)</f>
        <v>80906</v>
      </c>
      <c r="K82" s="8">
        <f>VLOOKUP(B82,'75 - Summary Exhibit'!A:N,9,FALSE)</f>
        <v>0</v>
      </c>
      <c r="L82" s="8">
        <f>VLOOKUP(B82,'75 - Summary Exhibit'!A:N,10,FALSE)</f>
        <v>32771</v>
      </c>
      <c r="M82" s="8">
        <f>VLOOKUP(B82,'75 - Summary Exhibit'!A:N,11,FALSE)</f>
        <v>23411</v>
      </c>
      <c r="N82" s="8">
        <f>VLOOKUP(B82,'75 - Summary Exhibit'!A:N,12,FALSE)</f>
        <v>37524</v>
      </c>
      <c r="O82" s="8">
        <f>VLOOKUP(B82,'75 - Summary Exhibit'!A:N,13,FALSE)</f>
        <v>-2661</v>
      </c>
      <c r="P82" s="8">
        <f t="shared" si="37"/>
        <v>34863</v>
      </c>
      <c r="Q82" s="8">
        <f>VLOOKUP(B82,'75- Deferred Amortization'!A:H,3,FALSE)</f>
        <v>-32083</v>
      </c>
      <c r="R82" s="8">
        <f>VLOOKUP(B82,'75- Deferred Amortization'!A:H,4,FALSE)</f>
        <v>-24767</v>
      </c>
      <c r="S82" s="8">
        <f>VLOOKUP(B82,'75- Deferred Amortization'!A:H,5,FALSE)</f>
        <v>7305</v>
      </c>
      <c r="T82" s="8">
        <f>VLOOKUP(B82,'75- Deferred Amortization'!A:H,6,FALSE)</f>
        <v>1295</v>
      </c>
      <c r="U82" s="8">
        <f>VLOOKUP(B82,'75- Deferred Amortization'!A:H,7,FALSE)</f>
        <v>2321</v>
      </c>
      <c r="V82" s="8">
        <f>VLOOKUP(B82,'75- Deferred Amortization'!A:H,8,FALSE)</f>
        <v>0</v>
      </c>
      <c r="X82" s="10">
        <v>1</v>
      </c>
      <c r="Y82" s="8">
        <f t="shared" si="25"/>
        <v>0</v>
      </c>
      <c r="Z82" s="8">
        <f t="shared" si="26"/>
        <v>0</v>
      </c>
      <c r="AB82" s="8">
        <f>'NOPEB asset change'!F81</f>
        <v>-47833</v>
      </c>
      <c r="AC82" s="8">
        <v>47833</v>
      </c>
      <c r="AD82" s="10">
        <v>41919</v>
      </c>
      <c r="AE82" s="10">
        <v>62476</v>
      </c>
      <c r="AF82" s="10">
        <v>3485</v>
      </c>
      <c r="AG82" s="8">
        <v>11435</v>
      </c>
      <c r="AH82" s="8">
        <v>26494</v>
      </c>
      <c r="AI82" s="8">
        <v>0</v>
      </c>
      <c r="AJ82" s="8">
        <v>8165</v>
      </c>
      <c r="AK82" s="8">
        <v>20588</v>
      </c>
      <c r="AM82" s="8">
        <f t="shared" si="35"/>
        <v>-4903</v>
      </c>
      <c r="AN82" s="8">
        <f t="shared" si="27"/>
        <v>2823</v>
      </c>
      <c r="AO82" s="10">
        <f t="shared" si="28"/>
        <v>-13562</v>
      </c>
      <c r="AP82" s="8">
        <f t="shared" si="29"/>
        <v>54412</v>
      </c>
      <c r="AQ82" s="10">
        <f t="shared" si="30"/>
        <v>-2436</v>
      </c>
      <c r="AR82" s="8">
        <f t="shared" si="31"/>
        <v>24606</v>
      </c>
      <c r="AS82" s="8">
        <f t="shared" si="32"/>
        <v>-118173</v>
      </c>
      <c r="AT82" s="10">
        <f t="shared" si="33"/>
        <v>-7255</v>
      </c>
      <c r="AU82" s="8">
        <f t="shared" si="34"/>
        <v>0</v>
      </c>
      <c r="AV82" s="8">
        <f t="shared" si="36"/>
        <v>-70340</v>
      </c>
    </row>
    <row r="83" spans="1:48" x14ac:dyDescent="0.25">
      <c r="A83" s="2" t="s">
        <v>157</v>
      </c>
      <c r="B83">
        <v>21525.200000000001</v>
      </c>
      <c r="C83" s="8">
        <f>VLOOKUP(B83,'ER Contributions'!A:D,4,FALSE)</f>
        <v>5612</v>
      </c>
      <c r="D83" s="9">
        <f>VLOOKUP(B83,'ER Contributions'!A:D,3,FALSE)</f>
        <v>5.7800000000000002E-5</v>
      </c>
      <c r="E83" s="8">
        <f>VLOOKUP(B83,'75 - Summary Exhibit'!A:N,3,FALSE)</f>
        <v>-1903</v>
      </c>
      <c r="F83" s="10">
        <f>VLOOKUP(B83,'75 - Summary Exhibit'!A:N,4,FALSE)</f>
        <v>767</v>
      </c>
      <c r="G83" s="10">
        <f>VLOOKUP(B83,'75 - Summary Exhibit'!A:N,5,FALSE)</f>
        <v>1494</v>
      </c>
      <c r="H83" s="10">
        <f>VLOOKUP(B83,'75 - Summary Exhibit'!A:N,6,FALSE)</f>
        <v>28</v>
      </c>
      <c r="I83" s="8">
        <f>VLOOKUP(B83,'75 - Summary Exhibit'!A:N,7,FALSE)</f>
        <v>7960</v>
      </c>
      <c r="J83" s="8">
        <f>VLOOKUP(B83,'75 - Summary Exhibit'!A:N,8,FALSE)</f>
        <v>2189</v>
      </c>
      <c r="K83" s="8">
        <f>VLOOKUP(B83,'75 - Summary Exhibit'!A:N,9,FALSE)</f>
        <v>0</v>
      </c>
      <c r="L83" s="8">
        <f>VLOOKUP(B83,'75 - Summary Exhibit'!A:N,10,FALSE)</f>
        <v>887</v>
      </c>
      <c r="M83" s="8">
        <f>VLOOKUP(B83,'75 - Summary Exhibit'!A:N,11,FALSE)</f>
        <v>2088</v>
      </c>
      <c r="N83" s="8">
        <f>VLOOKUP(B83,'75 - Summary Exhibit'!A:N,12,FALSE)</f>
        <v>1015</v>
      </c>
      <c r="O83" s="8">
        <f>VLOOKUP(B83,'75 - Summary Exhibit'!A:N,13,FALSE)</f>
        <v>3041</v>
      </c>
      <c r="P83" s="8">
        <f t="shared" si="37"/>
        <v>4056</v>
      </c>
      <c r="Q83" s="8">
        <f>VLOOKUP(B83,'75- Deferred Amortization'!A:H,3,FALSE)</f>
        <v>1907</v>
      </c>
      <c r="R83" s="8">
        <f>VLOOKUP(B83,'75- Deferred Amortization'!A:H,4,FALSE)</f>
        <v>1665</v>
      </c>
      <c r="S83" s="8">
        <f>VLOOKUP(B83,'75- Deferred Amortization'!A:H,5,FALSE)</f>
        <v>610</v>
      </c>
      <c r="T83" s="8">
        <f>VLOOKUP(B83,'75- Deferred Amortization'!A:H,6,FALSE)</f>
        <v>212</v>
      </c>
      <c r="U83" s="8">
        <f>VLOOKUP(B83,'75- Deferred Amortization'!A:H,7,FALSE)</f>
        <v>692</v>
      </c>
      <c r="V83" s="8">
        <f>VLOOKUP(B83,'75- Deferred Amortization'!A:H,8,FALSE)</f>
        <v>0</v>
      </c>
      <c r="X83">
        <v>3</v>
      </c>
      <c r="Y83" s="8">
        <f t="shared" si="25"/>
        <v>-1</v>
      </c>
      <c r="Z83" s="8">
        <f t="shared" si="26"/>
        <v>-1</v>
      </c>
      <c r="AB83" s="8">
        <f>'NOPEB asset change'!F82</f>
        <v>-3793</v>
      </c>
      <c r="AC83" s="8">
        <v>3793</v>
      </c>
      <c r="AD83" s="10">
        <v>3324</v>
      </c>
      <c r="AE83" s="10">
        <v>4954</v>
      </c>
      <c r="AF83" s="10">
        <v>276</v>
      </c>
      <c r="AG83" s="8">
        <v>6030</v>
      </c>
      <c r="AH83" s="8">
        <v>2101</v>
      </c>
      <c r="AI83" s="8">
        <v>0</v>
      </c>
      <c r="AJ83" s="8">
        <v>647</v>
      </c>
      <c r="AK83" s="8">
        <v>2610</v>
      </c>
      <c r="AM83" s="8">
        <f t="shared" si="35"/>
        <v>1930</v>
      </c>
      <c r="AN83" s="8">
        <f t="shared" si="27"/>
        <v>-522</v>
      </c>
      <c r="AO83" s="10">
        <f t="shared" si="28"/>
        <v>-2557</v>
      </c>
      <c r="AP83" s="8">
        <f t="shared" si="29"/>
        <v>88</v>
      </c>
      <c r="AQ83" s="10">
        <f t="shared" si="30"/>
        <v>-248</v>
      </c>
      <c r="AR83" s="8">
        <f t="shared" si="31"/>
        <v>240</v>
      </c>
      <c r="AS83" s="8">
        <f t="shared" si="32"/>
        <v>-5696</v>
      </c>
      <c r="AT83" s="10">
        <f t="shared" si="33"/>
        <v>-3460</v>
      </c>
      <c r="AU83" s="8">
        <f t="shared" si="34"/>
        <v>0</v>
      </c>
      <c r="AV83" s="8">
        <f t="shared" si="36"/>
        <v>-1903</v>
      </c>
    </row>
    <row r="84" spans="1:48" x14ac:dyDescent="0.25">
      <c r="A84" s="2" t="s">
        <v>165</v>
      </c>
      <c r="B84">
        <v>51000.2</v>
      </c>
      <c r="C84" s="8">
        <f>VLOOKUP(B84,'ER Contributions'!A:D,4,FALSE)</f>
        <v>1458</v>
      </c>
      <c r="D84" s="9">
        <f>VLOOKUP(B84,'ER Contributions'!A:D,3,FALSE)</f>
        <v>4.1699999999999997E-5</v>
      </c>
      <c r="E84" s="8">
        <f>VLOOKUP(B84,'75 - Summary Exhibit'!A:N,3,FALSE)</f>
        <v>-1373</v>
      </c>
      <c r="F84" s="10">
        <f>VLOOKUP(B84,'75 - Summary Exhibit'!A:N,4,FALSE)</f>
        <v>554</v>
      </c>
      <c r="G84" s="10">
        <f>VLOOKUP(B84,'75 - Summary Exhibit'!A:N,5,FALSE)</f>
        <v>1078</v>
      </c>
      <c r="H84" s="10">
        <f>VLOOKUP(B84,'75 - Summary Exhibit'!A:N,6,FALSE)</f>
        <v>20</v>
      </c>
      <c r="I84" s="8">
        <f>VLOOKUP(B84,'75 - Summary Exhibit'!A:N,7,FALSE)</f>
        <v>1861</v>
      </c>
      <c r="J84" s="8">
        <f>VLOOKUP(B84,'75 - Summary Exhibit'!A:N,8,FALSE)</f>
        <v>1579</v>
      </c>
      <c r="K84" s="8">
        <f>VLOOKUP(B84,'75 - Summary Exhibit'!A:N,9,FALSE)</f>
        <v>0</v>
      </c>
      <c r="L84" s="8">
        <f>VLOOKUP(B84,'75 - Summary Exhibit'!A:N,10,FALSE)</f>
        <v>640</v>
      </c>
      <c r="M84" s="8">
        <f>VLOOKUP(B84,'75 - Summary Exhibit'!A:N,11,FALSE)</f>
        <v>1382</v>
      </c>
      <c r="N84" s="8">
        <f>VLOOKUP(B84,'75 - Summary Exhibit'!A:N,12,FALSE)</f>
        <v>732</v>
      </c>
      <c r="O84" s="8">
        <f>VLOOKUP(B84,'75 - Summary Exhibit'!A:N,13,FALSE)</f>
        <v>404</v>
      </c>
      <c r="P84" s="8">
        <f t="shared" si="37"/>
        <v>1136</v>
      </c>
      <c r="Q84" s="8">
        <f>VLOOKUP(B84,'75- Deferred Amortization'!A:H,3,FALSE)</f>
        <v>-83</v>
      </c>
      <c r="R84" s="8">
        <f>VLOOKUP(B84,'75- Deferred Amortization'!A:H,4,FALSE)</f>
        <v>-109</v>
      </c>
      <c r="S84" s="8">
        <f>VLOOKUP(B84,'75- Deferred Amortization'!A:H,5,FALSE)</f>
        <v>339</v>
      </c>
      <c r="T84" s="8">
        <f>VLOOKUP(B84,'75- Deferred Amortization'!A:H,6,FALSE)</f>
        <v>-241</v>
      </c>
      <c r="U84" s="8">
        <f>VLOOKUP(B84,'75- Deferred Amortization'!A:H,7,FALSE)</f>
        <v>7</v>
      </c>
      <c r="V84" s="8">
        <f>VLOOKUP(B84,'75- Deferred Amortization'!A:H,8,FALSE)</f>
        <v>0</v>
      </c>
      <c r="X84">
        <v>3</v>
      </c>
      <c r="Y84" s="8">
        <f t="shared" si="25"/>
        <v>0</v>
      </c>
      <c r="Z84" s="8">
        <f t="shared" si="26"/>
        <v>-1</v>
      </c>
      <c r="AB84" s="8">
        <f>'NOPEB asset change'!F83</f>
        <v>-755</v>
      </c>
      <c r="AC84" s="8">
        <v>755</v>
      </c>
      <c r="AD84" s="10">
        <v>662</v>
      </c>
      <c r="AE84" s="10">
        <v>987</v>
      </c>
      <c r="AF84" s="10">
        <v>55</v>
      </c>
      <c r="AG84" s="8">
        <v>2325</v>
      </c>
      <c r="AH84" s="8">
        <v>418</v>
      </c>
      <c r="AI84" s="8">
        <v>0</v>
      </c>
      <c r="AJ84" s="8">
        <v>129</v>
      </c>
      <c r="AK84" s="8">
        <v>1764</v>
      </c>
      <c r="AM84" s="8">
        <f t="shared" si="35"/>
        <v>-464</v>
      </c>
      <c r="AN84" s="8">
        <f t="shared" si="27"/>
        <v>-382</v>
      </c>
      <c r="AO84" s="10">
        <f t="shared" si="28"/>
        <v>-108</v>
      </c>
      <c r="AP84" s="8">
        <f t="shared" si="29"/>
        <v>1161</v>
      </c>
      <c r="AQ84" s="10">
        <f t="shared" si="30"/>
        <v>-35</v>
      </c>
      <c r="AR84" s="8">
        <f t="shared" si="31"/>
        <v>511</v>
      </c>
      <c r="AS84" s="8">
        <f t="shared" si="32"/>
        <v>-2128</v>
      </c>
      <c r="AT84" s="10">
        <f t="shared" si="33"/>
        <v>91</v>
      </c>
      <c r="AU84" s="8">
        <f t="shared" si="34"/>
        <v>0</v>
      </c>
      <c r="AV84" s="8">
        <f t="shared" si="36"/>
        <v>-1373</v>
      </c>
    </row>
    <row r="85" spans="1:48" x14ac:dyDescent="0.25">
      <c r="A85" s="2" t="s">
        <v>164</v>
      </c>
      <c r="B85">
        <v>51000.3</v>
      </c>
      <c r="C85" s="8">
        <f>VLOOKUP(B85,'ER Contributions'!A:D,4,FALSE)</f>
        <v>21057</v>
      </c>
      <c r="D85" s="9">
        <f>VLOOKUP(B85,'ER Contributions'!A:D,3,FALSE)</f>
        <v>9.3919999999999995E-4</v>
      </c>
      <c r="E85" s="8">
        <f>VLOOKUP(B85,'75 - Summary Exhibit'!A:N,3,FALSE)</f>
        <v>-30924</v>
      </c>
      <c r="F85" s="10">
        <f>VLOOKUP(B85,'75 - Summary Exhibit'!A:N,4,FALSE)</f>
        <v>12467</v>
      </c>
      <c r="G85" s="10">
        <f>VLOOKUP(B85,'75 - Summary Exhibit'!A:N,5,FALSE)</f>
        <v>24277</v>
      </c>
      <c r="H85" s="10">
        <f>VLOOKUP(B85,'75 - Summary Exhibit'!A:N,6,FALSE)</f>
        <v>461</v>
      </c>
      <c r="I85" s="8">
        <f>VLOOKUP(B85,'75 - Summary Exhibit'!A:N,7,FALSE)</f>
        <v>1092</v>
      </c>
      <c r="J85" s="8">
        <f>VLOOKUP(B85,'75 - Summary Exhibit'!A:N,8,FALSE)</f>
        <v>35569</v>
      </c>
      <c r="K85" s="8">
        <f>VLOOKUP(B85,'75 - Summary Exhibit'!A:N,9,FALSE)</f>
        <v>0</v>
      </c>
      <c r="L85" s="8">
        <f>VLOOKUP(B85,'75 - Summary Exhibit'!A:N,10,FALSE)</f>
        <v>14407</v>
      </c>
      <c r="M85" s="8">
        <f>VLOOKUP(B85,'75 - Summary Exhibit'!A:N,11,FALSE)</f>
        <v>3795</v>
      </c>
      <c r="N85" s="8">
        <f>VLOOKUP(B85,'75 - Summary Exhibit'!A:N,12,FALSE)</f>
        <v>16497</v>
      </c>
      <c r="O85" s="8">
        <f>VLOOKUP(B85,'75 - Summary Exhibit'!A:N,13,FALSE)</f>
        <v>-1638</v>
      </c>
      <c r="P85" s="8">
        <f t="shared" si="37"/>
        <v>14859</v>
      </c>
      <c r="Q85" s="8">
        <f>VLOOKUP(B85,'75- Deferred Amortization'!A:H,3,FALSE)</f>
        <v>-13226</v>
      </c>
      <c r="R85" s="8">
        <f>VLOOKUP(B85,'75- Deferred Amortization'!A:H,4,FALSE)</f>
        <v>-9416</v>
      </c>
      <c r="S85" s="8">
        <f>VLOOKUP(B85,'75- Deferred Amortization'!A:H,5,FALSE)</f>
        <v>3579</v>
      </c>
      <c r="T85" s="8">
        <f>VLOOKUP(B85,'75- Deferred Amortization'!A:H,6,FALSE)</f>
        <v>2226</v>
      </c>
      <c r="U85" s="8">
        <f>VLOOKUP(B85,'75- Deferred Amortization'!A:H,7,FALSE)</f>
        <v>1363</v>
      </c>
      <c r="V85" s="8">
        <f>VLOOKUP(B85,'75- Deferred Amortization'!A:H,8,FALSE)</f>
        <v>0</v>
      </c>
      <c r="X85">
        <v>3</v>
      </c>
      <c r="Y85" s="8">
        <f t="shared" si="25"/>
        <v>0</v>
      </c>
      <c r="Z85" s="8">
        <f t="shared" si="26"/>
        <v>0</v>
      </c>
      <c r="AB85" s="8">
        <f>'NOPEB asset change'!F84</f>
        <v>-23202</v>
      </c>
      <c r="AC85" s="8">
        <v>23202</v>
      </c>
      <c r="AD85" s="10">
        <v>20334</v>
      </c>
      <c r="AE85" s="10">
        <v>30305</v>
      </c>
      <c r="AF85" s="10">
        <v>1691</v>
      </c>
      <c r="AG85" s="8">
        <v>1404</v>
      </c>
      <c r="AH85" s="8">
        <v>12851</v>
      </c>
      <c r="AI85" s="8">
        <v>0</v>
      </c>
      <c r="AJ85" s="8">
        <v>3961</v>
      </c>
      <c r="AK85" s="8">
        <v>4468</v>
      </c>
      <c r="AM85" s="8">
        <f t="shared" si="35"/>
        <v>-312</v>
      </c>
      <c r="AN85" s="8">
        <f t="shared" si="27"/>
        <v>-673</v>
      </c>
      <c r="AO85" s="10">
        <f t="shared" si="28"/>
        <v>-7867</v>
      </c>
      <c r="AP85" s="8">
        <f t="shared" si="29"/>
        <v>22718</v>
      </c>
      <c r="AQ85" s="10">
        <f t="shared" si="30"/>
        <v>-1230</v>
      </c>
      <c r="AR85" s="8">
        <f t="shared" si="31"/>
        <v>10446</v>
      </c>
      <c r="AS85" s="8">
        <f t="shared" si="32"/>
        <v>-54126</v>
      </c>
      <c r="AT85" s="10">
        <f t="shared" si="33"/>
        <v>-6028</v>
      </c>
      <c r="AU85" s="8">
        <f t="shared" si="34"/>
        <v>0</v>
      </c>
      <c r="AV85" s="8">
        <f t="shared" si="36"/>
        <v>-30924</v>
      </c>
    </row>
    <row r="86" spans="1:48" x14ac:dyDescent="0.25">
      <c r="A86" t="s">
        <v>154</v>
      </c>
      <c r="B86">
        <v>99000</v>
      </c>
      <c r="C86" s="8">
        <f>SUMIF($X$4:$X$85,1,C$4:C$85)</f>
        <v>5946014</v>
      </c>
      <c r="D86" s="8"/>
      <c r="E86" s="8">
        <f t="shared" ref="E86:V86" si="38">SUMIF($X$4:$X$85,1,E$4:E$85)</f>
        <v>-8855617</v>
      </c>
      <c r="F86" s="8">
        <f t="shared" si="38"/>
        <v>3570112</v>
      </c>
      <c r="G86" s="8">
        <f t="shared" si="38"/>
        <v>6952218</v>
      </c>
      <c r="H86" s="8">
        <f t="shared" si="38"/>
        <v>132055</v>
      </c>
      <c r="I86" s="8">
        <f t="shared" si="38"/>
        <v>479107</v>
      </c>
      <c r="J86" s="8">
        <f t="shared" si="38"/>
        <v>10185868</v>
      </c>
      <c r="K86" s="8">
        <f t="shared" si="38"/>
        <v>0</v>
      </c>
      <c r="L86" s="8">
        <f t="shared" si="38"/>
        <v>4125771</v>
      </c>
      <c r="M86" s="8">
        <f t="shared" si="38"/>
        <v>1034048</v>
      </c>
      <c r="N86" s="8">
        <f t="shared" si="38"/>
        <v>4724195</v>
      </c>
      <c r="O86" s="8">
        <f t="shared" si="38"/>
        <v>-332239</v>
      </c>
      <c r="P86" s="8">
        <f t="shared" si="38"/>
        <v>4391956</v>
      </c>
      <c r="Q86" s="8">
        <f t="shared" si="38"/>
        <v>-3758282</v>
      </c>
      <c r="R86" s="8">
        <f t="shared" si="38"/>
        <v>-2577324</v>
      </c>
      <c r="S86" s="8">
        <f t="shared" si="38"/>
        <v>1114841</v>
      </c>
      <c r="T86" s="8">
        <f t="shared" si="38"/>
        <v>581352</v>
      </c>
      <c r="U86" s="8">
        <f t="shared" si="38"/>
        <v>427226</v>
      </c>
      <c r="V86" s="8">
        <f t="shared" si="38"/>
        <v>0</v>
      </c>
      <c r="Y86" s="8">
        <f t="shared" si="25"/>
        <v>-11</v>
      </c>
      <c r="Z86" s="8">
        <f t="shared" si="26"/>
        <v>-8</v>
      </c>
      <c r="AB86" s="8">
        <f>'NOPEB asset change'!F85</f>
        <v>0</v>
      </c>
      <c r="AC86" s="8">
        <v>6981259</v>
      </c>
      <c r="AD86" s="8">
        <v>6118181</v>
      </c>
      <c r="AE86" s="8">
        <v>9118476</v>
      </c>
      <c r="AF86" s="8">
        <v>508710</v>
      </c>
      <c r="AG86" s="8">
        <v>586627</v>
      </c>
      <c r="AH86" s="8">
        <v>3866785</v>
      </c>
      <c r="AI86" s="8">
        <v>0</v>
      </c>
      <c r="AJ86" s="8">
        <v>1191718</v>
      </c>
      <c r="AK86" s="8">
        <v>1202857</v>
      </c>
      <c r="AL86" s="8"/>
      <c r="AM86" s="8">
        <f t="shared" si="35"/>
        <v>-107520</v>
      </c>
      <c r="AN86" s="8">
        <f t="shared" ref="AN86" si="39">SUMIF($X$4:$X$85,1,AN$4:AN$85)</f>
        <v>-168809</v>
      </c>
      <c r="AO86" s="10">
        <f t="shared" si="28"/>
        <v>-2548069</v>
      </c>
      <c r="AP86" s="8">
        <f t="shared" si="29"/>
        <v>6319083</v>
      </c>
      <c r="AQ86" s="10">
        <f t="shared" si="30"/>
        <v>-376655</v>
      </c>
      <c r="AR86" s="8">
        <f t="shared" si="31"/>
        <v>2934053</v>
      </c>
      <c r="AS86" s="8">
        <f t="shared" si="32"/>
        <v>-15836876</v>
      </c>
      <c r="AT86" s="10">
        <f t="shared" si="33"/>
        <v>-2166258</v>
      </c>
      <c r="AU86" s="8">
        <f t="shared" si="34"/>
        <v>0</v>
      </c>
      <c r="AV86" s="8">
        <f t="shared" si="36"/>
        <v>-8855617</v>
      </c>
    </row>
    <row r="87" spans="1:48" x14ac:dyDescent="0.25">
      <c r="A87" s="2" t="s">
        <v>155</v>
      </c>
      <c r="B87">
        <v>99100</v>
      </c>
      <c r="C87" s="8">
        <f>SUMIF($X$4:$X$85,2,C$4:C$85)</f>
        <v>1168213</v>
      </c>
      <c r="D87" s="8"/>
      <c r="E87" s="8">
        <f t="shared" ref="E87:V87" si="40">SUMIF($X$4:$X$85,2,E$4:E$85)</f>
        <v>-1593215</v>
      </c>
      <c r="F87" s="8">
        <f t="shared" si="40"/>
        <v>642303</v>
      </c>
      <c r="G87" s="8">
        <f t="shared" si="40"/>
        <v>1250777</v>
      </c>
      <c r="H87" s="8">
        <f t="shared" si="40"/>
        <v>23758</v>
      </c>
      <c r="I87" s="8">
        <f t="shared" si="40"/>
        <v>311595</v>
      </c>
      <c r="J87" s="8">
        <f t="shared" si="40"/>
        <v>1832536</v>
      </c>
      <c r="K87" s="8">
        <f t="shared" si="40"/>
        <v>0</v>
      </c>
      <c r="L87" s="8">
        <f t="shared" si="40"/>
        <v>742273</v>
      </c>
      <c r="M87" s="8">
        <f t="shared" si="40"/>
        <v>87266</v>
      </c>
      <c r="N87" s="8">
        <f t="shared" si="40"/>
        <v>849931</v>
      </c>
      <c r="O87" s="8">
        <f t="shared" si="40"/>
        <v>113867</v>
      </c>
      <c r="P87" s="8">
        <f t="shared" si="40"/>
        <v>963798</v>
      </c>
      <c r="Q87" s="8">
        <f t="shared" si="40"/>
        <v>-538831</v>
      </c>
      <c r="R87" s="8">
        <f t="shared" si="40"/>
        <v>-353903</v>
      </c>
      <c r="S87" s="8">
        <f t="shared" si="40"/>
        <v>271161</v>
      </c>
      <c r="T87" s="8">
        <f t="shared" si="40"/>
        <v>123593</v>
      </c>
      <c r="U87" s="8">
        <f t="shared" si="40"/>
        <v>64341</v>
      </c>
      <c r="V87" s="8">
        <f t="shared" si="40"/>
        <v>0</v>
      </c>
      <c r="Y87" s="8">
        <f t="shared" si="25"/>
        <v>-3</v>
      </c>
      <c r="Z87" s="8">
        <f t="shared" si="26"/>
        <v>-3</v>
      </c>
      <c r="AB87" s="8">
        <f>'NOPEB asset change'!F86</f>
        <v>0</v>
      </c>
      <c r="AC87" s="8">
        <v>1291990</v>
      </c>
      <c r="AD87" s="8">
        <v>1132264</v>
      </c>
      <c r="AE87" s="8">
        <v>1687514</v>
      </c>
      <c r="AF87" s="8">
        <v>94146</v>
      </c>
      <c r="AG87" s="8">
        <v>381081</v>
      </c>
      <c r="AH87" s="8">
        <v>715607</v>
      </c>
      <c r="AI87" s="8">
        <v>0</v>
      </c>
      <c r="AJ87" s="8">
        <v>220542</v>
      </c>
      <c r="AK87" s="8">
        <v>111705</v>
      </c>
      <c r="AL87" s="8"/>
      <c r="AM87" s="8">
        <f t="shared" si="35"/>
        <v>-69486</v>
      </c>
      <c r="AN87" s="8">
        <f t="shared" ref="AN87" si="41">SUMIF($X$4:$X$85,2,AN$4:AN$85)</f>
        <v>-24439</v>
      </c>
      <c r="AO87" s="10">
        <f t="shared" si="28"/>
        <v>-489961</v>
      </c>
      <c r="AP87" s="8">
        <f t="shared" si="29"/>
        <v>1116929</v>
      </c>
      <c r="AQ87" s="10">
        <f t="shared" si="30"/>
        <v>-70388</v>
      </c>
      <c r="AR87" s="8">
        <f t="shared" si="31"/>
        <v>521731</v>
      </c>
      <c r="AS87" s="8">
        <f t="shared" si="32"/>
        <v>-2885205</v>
      </c>
      <c r="AT87" s="10">
        <f t="shared" si="33"/>
        <v>-436737</v>
      </c>
      <c r="AU87" s="8">
        <f t="shared" si="34"/>
        <v>0</v>
      </c>
      <c r="AV87" s="8">
        <f t="shared" si="36"/>
        <v>-1593215</v>
      </c>
    </row>
    <row r="88" spans="1:48" x14ac:dyDescent="0.25">
      <c r="A88" s="2" t="s">
        <v>156</v>
      </c>
      <c r="B88">
        <v>99200</v>
      </c>
      <c r="C88" s="8">
        <f>SUMIF($X$4:$X$85,3,C$4:C$85)</f>
        <v>45422</v>
      </c>
      <c r="D88" s="8"/>
      <c r="E88" s="8">
        <f t="shared" ref="E88:V88" si="42">SUMIF($X$4:$X$85,3,E$4:E$85)</f>
        <v>-55760</v>
      </c>
      <c r="F88" s="8">
        <f t="shared" si="42"/>
        <v>22479</v>
      </c>
      <c r="G88" s="8">
        <f t="shared" si="42"/>
        <v>43775</v>
      </c>
      <c r="H88" s="8">
        <f t="shared" si="42"/>
        <v>830</v>
      </c>
      <c r="I88" s="8">
        <f t="shared" si="42"/>
        <v>27093</v>
      </c>
      <c r="J88" s="8">
        <f t="shared" si="42"/>
        <v>64135</v>
      </c>
      <c r="K88" s="8">
        <f t="shared" si="42"/>
        <v>0</v>
      </c>
      <c r="L88" s="8">
        <f t="shared" si="42"/>
        <v>25979</v>
      </c>
      <c r="M88" s="8">
        <f t="shared" si="42"/>
        <v>10143</v>
      </c>
      <c r="N88" s="8">
        <f t="shared" si="42"/>
        <v>29745</v>
      </c>
      <c r="O88" s="8">
        <f t="shared" si="42"/>
        <v>9791</v>
      </c>
      <c r="P88" s="8">
        <f t="shared" si="42"/>
        <v>39536</v>
      </c>
      <c r="Q88" s="8">
        <f t="shared" si="42"/>
        <v>-12148</v>
      </c>
      <c r="R88" s="8">
        <f t="shared" si="42"/>
        <v>-9058</v>
      </c>
      <c r="S88" s="8">
        <f t="shared" si="42"/>
        <v>8322</v>
      </c>
      <c r="T88" s="8">
        <f t="shared" si="42"/>
        <v>3788</v>
      </c>
      <c r="U88" s="8">
        <f t="shared" si="42"/>
        <v>3020</v>
      </c>
      <c r="V88" s="8">
        <f t="shared" si="42"/>
        <v>0</v>
      </c>
      <c r="Y88" s="8">
        <f t="shared" si="25"/>
        <v>8707</v>
      </c>
      <c r="Z88" s="8">
        <f t="shared" si="26"/>
        <v>-4</v>
      </c>
      <c r="AB88" s="8">
        <f>'NOPEB asset change'!F87</f>
        <v>0</v>
      </c>
      <c r="AC88" s="8">
        <v>45612</v>
      </c>
      <c r="AD88" s="8">
        <v>39973</v>
      </c>
      <c r="AE88" s="8">
        <v>59576</v>
      </c>
      <c r="AF88" s="8">
        <v>3324</v>
      </c>
      <c r="AG88" s="8">
        <v>23653</v>
      </c>
      <c r="AH88" s="8">
        <v>25263</v>
      </c>
      <c r="AI88" s="8">
        <v>0</v>
      </c>
      <c r="AJ88" s="8">
        <v>7786</v>
      </c>
      <c r="AK88" s="8">
        <v>12778</v>
      </c>
      <c r="AL88" s="8"/>
      <c r="AM88" s="8">
        <f t="shared" si="35"/>
        <v>3440</v>
      </c>
      <c r="AN88" s="8">
        <f t="shared" ref="AN88" si="43">SUMIF($X$4:$X$85,3,AN$4:AN$85)</f>
        <v>-2635</v>
      </c>
      <c r="AO88" s="10">
        <f t="shared" si="28"/>
        <v>-17494</v>
      </c>
      <c r="AP88" s="8">
        <f t="shared" si="29"/>
        <v>38872</v>
      </c>
      <c r="AQ88" s="10">
        <f t="shared" si="30"/>
        <v>-2494</v>
      </c>
      <c r="AR88" s="8">
        <f t="shared" si="31"/>
        <v>18193</v>
      </c>
      <c r="AS88" s="8">
        <f t="shared" si="32"/>
        <v>-101372</v>
      </c>
      <c r="AT88" s="10">
        <f t="shared" si="33"/>
        <v>-15801</v>
      </c>
      <c r="AU88" s="8">
        <f t="shared" si="34"/>
        <v>0</v>
      </c>
      <c r="AV88" s="8">
        <f t="shared" si="36"/>
        <v>-55760</v>
      </c>
    </row>
    <row r="92" spans="1:48" x14ac:dyDescent="0.25">
      <c r="A92" s="2" t="s">
        <v>247</v>
      </c>
    </row>
    <row r="95" spans="1:48" x14ac:dyDescent="0.25">
      <c r="A95" s="245" t="s">
        <v>565</v>
      </c>
      <c r="B95" s="246"/>
      <c r="C95" s="246"/>
      <c r="D95" s="246"/>
      <c r="E95" s="246"/>
      <c r="F95" s="246"/>
    </row>
  </sheetData>
  <sortState xmlns:xlrd2="http://schemas.microsoft.com/office/spreadsheetml/2017/richdata2" ref="A81:AN85">
    <sortCondition ref="B81:B85"/>
  </sortState>
  <mergeCells count="6">
    <mergeCell ref="AH2:AK2"/>
    <mergeCell ref="J2:M2"/>
    <mergeCell ref="F2:I2"/>
    <mergeCell ref="AD2:AG2"/>
    <mergeCell ref="Q2:V2"/>
    <mergeCell ref="N2:P2"/>
  </mergeCells>
  <pageMargins left="0.7" right="0.7" top="0.75" bottom="0.75" header="0.3" footer="0.3"/>
  <pageSetup scale="6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308"/>
  <sheetViews>
    <sheetView workbookViewId="0">
      <pane ySplit="2" topLeftCell="A3" activePane="bottomLeft" state="frozen"/>
      <selection pane="bottomLeft" activeCell="D291" sqref="D291"/>
    </sheetView>
  </sheetViews>
  <sheetFormatPr defaultRowHeight="13.2" x14ac:dyDescent="0.25"/>
  <cols>
    <col min="1" max="1" width="15" customWidth="1"/>
    <col min="2" max="2" width="56" bestFit="1" customWidth="1"/>
    <col min="3" max="3" width="16.6640625" customWidth="1"/>
    <col min="4" max="4" width="18.44140625" style="8" bestFit="1" customWidth="1"/>
  </cols>
  <sheetData>
    <row r="1" spans="1:4" x14ac:dyDescent="0.25">
      <c r="A1" s="7">
        <v>1</v>
      </c>
      <c r="B1" s="7">
        <v>2</v>
      </c>
      <c r="C1" s="7">
        <v>3</v>
      </c>
      <c r="D1" s="158">
        <v>4</v>
      </c>
    </row>
    <row r="2" spans="1:4" ht="38.25" customHeight="1" x14ac:dyDescent="0.25">
      <c r="A2" s="130" t="s">
        <v>159</v>
      </c>
      <c r="B2" s="131" t="s">
        <v>161</v>
      </c>
      <c r="C2" s="45" t="s">
        <v>166</v>
      </c>
      <c r="D2" s="159" t="s">
        <v>35</v>
      </c>
    </row>
    <row r="3" spans="1:4" ht="13.8" x14ac:dyDescent="0.25">
      <c r="A3" s="192">
        <v>10200</v>
      </c>
      <c r="B3" s="194" t="s">
        <v>249</v>
      </c>
      <c r="C3" s="222">
        <v>1.1534E-3</v>
      </c>
      <c r="D3" s="223">
        <v>27659</v>
      </c>
    </row>
    <row r="4" spans="1:4" ht="13.8" x14ac:dyDescent="0.25">
      <c r="A4" s="192">
        <v>10400</v>
      </c>
      <c r="B4" s="194" t="s">
        <v>250</v>
      </c>
      <c r="C4" s="224">
        <v>2.9667000000000001E-3</v>
      </c>
      <c r="D4" s="225">
        <v>65877</v>
      </c>
    </row>
    <row r="5" spans="1:4" ht="13.8" x14ac:dyDescent="0.25">
      <c r="A5" s="192">
        <v>10500</v>
      </c>
      <c r="B5" s="194" t="s">
        <v>251</v>
      </c>
      <c r="C5" s="222">
        <v>6.8539999999999996E-4</v>
      </c>
      <c r="D5" s="223">
        <v>14251</v>
      </c>
    </row>
    <row r="6" spans="1:4" ht="13.8" x14ac:dyDescent="0.25">
      <c r="A6" s="192">
        <v>10700</v>
      </c>
      <c r="B6" s="194" t="s">
        <v>252</v>
      </c>
      <c r="C6" s="224">
        <v>4.6442000000000002E-3</v>
      </c>
      <c r="D6" s="225">
        <v>109130</v>
      </c>
    </row>
    <row r="7" spans="1:4" ht="13.8" x14ac:dyDescent="0.25">
      <c r="A7" s="192">
        <v>10800</v>
      </c>
      <c r="B7" s="194" t="s">
        <v>253</v>
      </c>
      <c r="C7" s="222">
        <v>1.9715400000000001E-2</v>
      </c>
      <c r="D7" s="223">
        <v>489781</v>
      </c>
    </row>
    <row r="8" spans="1:4" ht="13.8" x14ac:dyDescent="0.25">
      <c r="A8" s="192">
        <v>10850</v>
      </c>
      <c r="B8" s="194" t="s">
        <v>254</v>
      </c>
      <c r="C8" s="224">
        <v>1.6880000000000001E-4</v>
      </c>
      <c r="D8" s="225">
        <v>4845</v>
      </c>
    </row>
    <row r="9" spans="1:4" ht="13.8" x14ac:dyDescent="0.25">
      <c r="A9" s="238">
        <v>10900</v>
      </c>
      <c r="B9" s="239" t="s">
        <v>255</v>
      </c>
      <c r="C9" s="222">
        <v>1.6149000000000001E-3</v>
      </c>
      <c r="D9" s="223">
        <v>43732</v>
      </c>
    </row>
    <row r="10" spans="1:4" ht="13.8" x14ac:dyDescent="0.25">
      <c r="A10" s="238">
        <v>10910</v>
      </c>
      <c r="B10" s="196" t="s">
        <v>256</v>
      </c>
      <c r="C10" s="224">
        <v>5.6380000000000004E-4</v>
      </c>
      <c r="D10" s="225">
        <v>12587</v>
      </c>
    </row>
    <row r="11" spans="1:4" ht="13.8" x14ac:dyDescent="0.25">
      <c r="A11" s="238">
        <v>10930</v>
      </c>
      <c r="B11" s="196" t="s">
        <v>257</v>
      </c>
      <c r="C11" s="222">
        <v>5.0393E-3</v>
      </c>
      <c r="D11" s="223">
        <v>138388</v>
      </c>
    </row>
    <row r="12" spans="1:4" ht="13.8" x14ac:dyDescent="0.25">
      <c r="A12" s="238">
        <v>10940</v>
      </c>
      <c r="B12" s="239" t="s">
        <v>258</v>
      </c>
      <c r="C12" s="224">
        <v>7.0779999999999997E-4</v>
      </c>
      <c r="D12" s="225">
        <v>19214</v>
      </c>
    </row>
    <row r="13" spans="1:4" ht="13.8" x14ac:dyDescent="0.25">
      <c r="A13" s="238">
        <v>10950</v>
      </c>
      <c r="B13" s="196" t="s">
        <v>259</v>
      </c>
      <c r="C13" s="222">
        <v>1.1408E-3</v>
      </c>
      <c r="D13" s="223">
        <v>25878</v>
      </c>
    </row>
    <row r="14" spans="1:4" ht="13.8" x14ac:dyDescent="0.25">
      <c r="A14" s="238">
        <v>11000</v>
      </c>
      <c r="B14" s="196" t="s">
        <v>548</v>
      </c>
      <c r="C14" s="222"/>
      <c r="D14" s="223">
        <v>8238</v>
      </c>
    </row>
    <row r="15" spans="1:4" ht="13.8" x14ac:dyDescent="0.25">
      <c r="A15" s="238">
        <v>11050</v>
      </c>
      <c r="B15" s="196" t="s">
        <v>260</v>
      </c>
      <c r="C15" s="224">
        <v>2.5230000000000001E-4</v>
      </c>
      <c r="D15" s="225">
        <v>6338</v>
      </c>
    </row>
    <row r="16" spans="1:4" ht="13.8" x14ac:dyDescent="0.25">
      <c r="A16" s="192">
        <v>11300</v>
      </c>
      <c r="B16" s="194" t="s">
        <v>261</v>
      </c>
      <c r="C16" s="222">
        <v>4.6411999999999998E-3</v>
      </c>
      <c r="D16" s="223">
        <v>120802</v>
      </c>
    </row>
    <row r="17" spans="1:7" ht="13.8" x14ac:dyDescent="0.25">
      <c r="A17" s="192">
        <v>11310</v>
      </c>
      <c r="B17" s="194" t="s">
        <v>262</v>
      </c>
      <c r="C17" s="224">
        <v>5.0589999999999999E-4</v>
      </c>
      <c r="D17" s="225">
        <v>13002</v>
      </c>
    </row>
    <row r="18" spans="1:7" ht="13.8" x14ac:dyDescent="0.25">
      <c r="A18" s="192">
        <v>11600</v>
      </c>
      <c r="B18" s="194" t="s">
        <v>263</v>
      </c>
      <c r="C18" s="222">
        <v>2.1752999999999998E-3</v>
      </c>
      <c r="D18" s="223">
        <v>45660</v>
      </c>
    </row>
    <row r="19" spans="1:7" ht="13.8" x14ac:dyDescent="0.25">
      <c r="A19" s="192">
        <v>11900</v>
      </c>
      <c r="B19" s="194" t="s">
        <v>264</v>
      </c>
      <c r="C19" s="224">
        <v>2.8009999999999998E-4</v>
      </c>
      <c r="D19" s="225">
        <v>6116</v>
      </c>
    </row>
    <row r="20" spans="1:7" ht="13.8" x14ac:dyDescent="0.25">
      <c r="A20" s="192">
        <v>12100</v>
      </c>
      <c r="B20" s="194" t="s">
        <v>265</v>
      </c>
      <c r="C20" s="222">
        <v>2.945E-4</v>
      </c>
      <c r="D20" s="223">
        <v>6964</v>
      </c>
    </row>
    <row r="21" spans="1:7" ht="13.8" x14ac:dyDescent="0.25">
      <c r="A21" s="192">
        <v>12150</v>
      </c>
      <c r="B21" s="194" t="s">
        <v>266</v>
      </c>
      <c r="C21" s="224">
        <v>4.7599999999999998E-5</v>
      </c>
      <c r="D21" s="225">
        <v>951</v>
      </c>
    </row>
    <row r="22" spans="1:7" ht="13.8" x14ac:dyDescent="0.25">
      <c r="A22" s="238">
        <v>12160</v>
      </c>
      <c r="B22" s="239" t="s">
        <v>267</v>
      </c>
      <c r="C22" s="222">
        <v>1.7815000000000001E-3</v>
      </c>
      <c r="D22" s="223">
        <v>44555</v>
      </c>
    </row>
    <row r="23" spans="1:7" ht="13.8" x14ac:dyDescent="0.25">
      <c r="A23" s="238">
        <v>12220</v>
      </c>
      <c r="B23" s="196" t="s">
        <v>268</v>
      </c>
      <c r="C23" s="224">
        <v>3.8883899999999999E-2</v>
      </c>
      <c r="D23" s="225">
        <v>969788</v>
      </c>
    </row>
    <row r="24" spans="1:7" ht="13.8" x14ac:dyDescent="0.25">
      <c r="A24" s="238">
        <v>12510</v>
      </c>
      <c r="B24" s="239" t="s">
        <v>269</v>
      </c>
      <c r="C24" s="222">
        <v>3.6129999999999999E-3</v>
      </c>
      <c r="D24" s="223">
        <v>101338</v>
      </c>
    </row>
    <row r="25" spans="1:7" ht="13.8" x14ac:dyDescent="0.25">
      <c r="A25" s="238">
        <v>12600</v>
      </c>
      <c r="B25" s="196" t="s">
        <v>270</v>
      </c>
      <c r="C25" s="224">
        <v>1.7306000000000001E-3</v>
      </c>
      <c r="D25" s="225">
        <v>46412</v>
      </c>
    </row>
    <row r="26" spans="1:7" ht="13.8" x14ac:dyDescent="0.25">
      <c r="A26" s="238">
        <v>12700</v>
      </c>
      <c r="B26" s="196" t="s">
        <v>271</v>
      </c>
      <c r="C26" s="222">
        <v>9.1109999999999997E-4</v>
      </c>
      <c r="D26" s="223">
        <v>27155</v>
      </c>
    </row>
    <row r="27" spans="1:7" ht="13.8" x14ac:dyDescent="0.25">
      <c r="A27" s="238">
        <v>13500</v>
      </c>
      <c r="B27" s="196" t="s">
        <v>272</v>
      </c>
      <c r="C27" s="224">
        <v>3.7702E-3</v>
      </c>
      <c r="D27" s="225">
        <v>94964</v>
      </c>
    </row>
    <row r="28" spans="1:7" ht="13.8" x14ac:dyDescent="0.25">
      <c r="A28" s="192">
        <v>13700</v>
      </c>
      <c r="B28" s="194" t="s">
        <v>273</v>
      </c>
      <c r="C28" s="222">
        <v>4.4450000000000002E-4</v>
      </c>
      <c r="D28" s="223">
        <v>11918</v>
      </c>
    </row>
    <row r="29" spans="1:7" ht="13.8" x14ac:dyDescent="0.25">
      <c r="A29" s="192">
        <v>14300</v>
      </c>
      <c r="B29" s="194" t="s">
        <v>274</v>
      </c>
      <c r="C29" s="224">
        <v>1.4400000000000001E-3</v>
      </c>
      <c r="D29" s="225">
        <v>33755</v>
      </c>
      <c r="F29">
        <f>F31-F30</f>
        <v>33755</v>
      </c>
      <c r="G29" s="2" t="s">
        <v>554</v>
      </c>
    </row>
    <row r="30" spans="1:7" ht="13.8" x14ac:dyDescent="0.25">
      <c r="A30" s="241">
        <v>14300.2</v>
      </c>
      <c r="B30" s="242" t="s">
        <v>275</v>
      </c>
      <c r="C30" s="222">
        <v>1.4889999999999999E-4</v>
      </c>
      <c r="D30" s="243">
        <v>4293</v>
      </c>
      <c r="F30">
        <v>4293</v>
      </c>
      <c r="G30" s="2" t="s">
        <v>555</v>
      </c>
    </row>
    <row r="31" spans="1:7" ht="13.8" x14ac:dyDescent="0.25">
      <c r="A31" s="192">
        <v>18400</v>
      </c>
      <c r="B31" s="194" t="s">
        <v>276</v>
      </c>
      <c r="C31" s="224">
        <v>4.5237000000000003E-3</v>
      </c>
      <c r="D31" s="225">
        <v>112631</v>
      </c>
      <c r="F31">
        <v>38048</v>
      </c>
      <c r="G31" s="2" t="s">
        <v>556</v>
      </c>
    </row>
    <row r="32" spans="1:7" ht="13.8" x14ac:dyDescent="0.25">
      <c r="A32" s="192">
        <v>18600</v>
      </c>
      <c r="B32" s="194" t="s">
        <v>277</v>
      </c>
      <c r="C32" s="222">
        <v>1.24E-5</v>
      </c>
      <c r="D32" s="223">
        <v>377</v>
      </c>
    </row>
    <row r="33" spans="1:4" ht="13.8" x14ac:dyDescent="0.25">
      <c r="A33" s="192">
        <v>18640</v>
      </c>
      <c r="B33" s="194" t="s">
        <v>278</v>
      </c>
      <c r="C33" s="224">
        <v>1.5999999999999999E-6</v>
      </c>
      <c r="D33" s="225">
        <v>51</v>
      </c>
    </row>
    <row r="34" spans="1:4" ht="13.8" x14ac:dyDescent="0.25">
      <c r="A34" s="238">
        <v>18740</v>
      </c>
      <c r="B34" s="196" t="s">
        <v>279</v>
      </c>
      <c r="C34" s="222">
        <v>4.1999999999999996E-6</v>
      </c>
      <c r="D34" s="223">
        <v>188</v>
      </c>
    </row>
    <row r="35" spans="1:4" ht="13.8" x14ac:dyDescent="0.25">
      <c r="A35" s="238">
        <v>18780</v>
      </c>
      <c r="B35" s="196" t="s">
        <v>522</v>
      </c>
      <c r="C35" s="224">
        <v>2.0699999999999998E-5</v>
      </c>
      <c r="D35" s="225">
        <v>417</v>
      </c>
    </row>
    <row r="36" spans="1:4" ht="13.8" x14ac:dyDescent="0.25">
      <c r="A36" s="238">
        <v>19005</v>
      </c>
      <c r="B36" s="196" t="s">
        <v>280</v>
      </c>
      <c r="C36" s="222">
        <v>8.698E-4</v>
      </c>
      <c r="D36" s="223">
        <v>22360</v>
      </c>
    </row>
    <row r="37" spans="1:4" ht="13.8" x14ac:dyDescent="0.25">
      <c r="A37" s="238">
        <v>19100</v>
      </c>
      <c r="B37" s="239" t="s">
        <v>281</v>
      </c>
      <c r="C37" s="224">
        <v>1.80991E-2</v>
      </c>
      <c r="D37" s="225">
        <v>389943</v>
      </c>
    </row>
    <row r="38" spans="1:4" ht="13.8" x14ac:dyDescent="0.25">
      <c r="A38" s="238">
        <v>19120</v>
      </c>
      <c r="B38" s="196" t="s">
        <v>523</v>
      </c>
      <c r="C38" s="222">
        <v>4.4185000000000002E-2</v>
      </c>
      <c r="D38" s="223">
        <v>1012786</v>
      </c>
    </row>
    <row r="39" spans="1:4" ht="13.8" x14ac:dyDescent="0.25">
      <c r="A39" s="238">
        <v>20100</v>
      </c>
      <c r="B39" s="239" t="s">
        <v>37</v>
      </c>
      <c r="C39" s="224">
        <v>1.1860900000000001E-2</v>
      </c>
      <c r="D39" s="225">
        <v>267652</v>
      </c>
    </row>
    <row r="40" spans="1:4" ht="13.8" x14ac:dyDescent="0.25">
      <c r="A40" s="192">
        <v>20200</v>
      </c>
      <c r="B40" s="194" t="s">
        <v>282</v>
      </c>
      <c r="C40" s="222">
        <v>1.6057999999999999E-3</v>
      </c>
      <c r="D40" s="223">
        <v>37828</v>
      </c>
    </row>
    <row r="41" spans="1:4" ht="13.8" x14ac:dyDescent="0.25">
      <c r="A41" s="192">
        <v>20300</v>
      </c>
      <c r="B41" s="194" t="s">
        <v>39</v>
      </c>
      <c r="C41" s="224">
        <v>2.3979400000000001E-2</v>
      </c>
      <c r="D41" s="225">
        <v>529850</v>
      </c>
    </row>
    <row r="42" spans="1:4" ht="13.8" x14ac:dyDescent="0.25">
      <c r="A42" s="192">
        <v>20400</v>
      </c>
      <c r="B42" s="194" t="s">
        <v>40</v>
      </c>
      <c r="C42" s="222">
        <v>1.2772E-3</v>
      </c>
      <c r="D42" s="223">
        <v>30408</v>
      </c>
    </row>
    <row r="43" spans="1:4" ht="13.8" x14ac:dyDescent="0.25">
      <c r="A43" s="192">
        <v>20600</v>
      </c>
      <c r="B43" s="194" t="s">
        <v>41</v>
      </c>
      <c r="C43" s="224">
        <v>2.9715000000000002E-3</v>
      </c>
      <c r="D43" s="225">
        <v>71584</v>
      </c>
    </row>
    <row r="44" spans="1:4" ht="13.8" x14ac:dyDescent="0.25">
      <c r="A44" s="192">
        <v>20700</v>
      </c>
      <c r="B44" s="194" t="s">
        <v>283</v>
      </c>
      <c r="C44" s="222">
        <v>6.2084999999999996E-3</v>
      </c>
      <c r="D44" s="223">
        <v>153777</v>
      </c>
    </row>
    <row r="45" spans="1:4" ht="13.8" x14ac:dyDescent="0.25">
      <c r="A45" s="192">
        <v>20800</v>
      </c>
      <c r="B45" s="194" t="s">
        <v>284</v>
      </c>
      <c r="C45" s="224">
        <v>4.0658999999999999E-3</v>
      </c>
      <c r="D45" s="225">
        <v>103123</v>
      </c>
    </row>
    <row r="46" spans="1:4" ht="13.8" x14ac:dyDescent="0.25">
      <c r="A46" s="238">
        <v>20900</v>
      </c>
      <c r="B46" s="239" t="s">
        <v>44</v>
      </c>
      <c r="C46" s="222">
        <v>9.1547999999999994E-3</v>
      </c>
      <c r="D46" s="223">
        <v>212257</v>
      </c>
    </row>
    <row r="47" spans="1:4" ht="13.8" x14ac:dyDescent="0.25">
      <c r="A47" s="238">
        <v>21200</v>
      </c>
      <c r="B47" s="196" t="s">
        <v>285</v>
      </c>
      <c r="C47" s="224">
        <v>3.0393E-3</v>
      </c>
      <c r="D47" s="225">
        <v>70407</v>
      </c>
    </row>
    <row r="48" spans="1:4" ht="13.8" x14ac:dyDescent="0.25">
      <c r="A48" s="238">
        <v>21300</v>
      </c>
      <c r="B48" s="196" t="s">
        <v>286</v>
      </c>
      <c r="C48" s="222">
        <v>4.0810100000000002E-2</v>
      </c>
      <c r="D48" s="223">
        <v>907812</v>
      </c>
    </row>
    <row r="49" spans="1:7" ht="13.8" x14ac:dyDescent="0.25">
      <c r="A49" s="238">
        <v>21520</v>
      </c>
      <c r="B49" s="196" t="s">
        <v>287</v>
      </c>
      <c r="C49" s="224">
        <v>7.8914600000000001E-2</v>
      </c>
      <c r="D49" s="225">
        <v>1712493</v>
      </c>
    </row>
    <row r="50" spans="1:7" ht="13.8" x14ac:dyDescent="0.25">
      <c r="A50" s="238">
        <v>21525</v>
      </c>
      <c r="B50" s="239" t="s">
        <v>288</v>
      </c>
      <c r="C50" s="222">
        <v>2.1362999999999998E-3</v>
      </c>
      <c r="D50" s="223">
        <v>43039</v>
      </c>
      <c r="F50">
        <f>F52-F51</f>
        <v>43039</v>
      </c>
      <c r="G50" s="2" t="s">
        <v>557</v>
      </c>
    </row>
    <row r="51" spans="1:7" ht="13.8" x14ac:dyDescent="0.25">
      <c r="A51" s="238">
        <v>21525.200000000001</v>
      </c>
      <c r="B51" s="239" t="s">
        <v>289</v>
      </c>
      <c r="C51" s="224">
        <v>5.7800000000000002E-5</v>
      </c>
      <c r="D51" s="225">
        <v>5612</v>
      </c>
      <c r="F51">
        <v>5612</v>
      </c>
      <c r="G51" s="2" t="s">
        <v>555</v>
      </c>
    </row>
    <row r="52" spans="1:7" ht="13.8" x14ac:dyDescent="0.25">
      <c r="A52" s="192">
        <v>21550</v>
      </c>
      <c r="B52" s="194" t="s">
        <v>48</v>
      </c>
      <c r="C52" s="222">
        <v>4.5184299999999997E-2</v>
      </c>
      <c r="D52" s="223">
        <v>964268</v>
      </c>
      <c r="F52">
        <v>48651</v>
      </c>
      <c r="G52" s="2" t="s">
        <v>556</v>
      </c>
    </row>
    <row r="53" spans="1:7" ht="13.8" x14ac:dyDescent="0.25">
      <c r="A53" s="192">
        <v>21570</v>
      </c>
      <c r="B53" s="194" t="s">
        <v>290</v>
      </c>
      <c r="C53" s="224">
        <v>2.3609999999999999E-4</v>
      </c>
      <c r="D53" s="225">
        <v>5392</v>
      </c>
    </row>
    <row r="54" spans="1:7" ht="13.8" x14ac:dyDescent="0.25">
      <c r="A54" s="192">
        <v>21800</v>
      </c>
      <c r="B54" s="194" t="s">
        <v>49</v>
      </c>
      <c r="C54" s="222">
        <v>6.0080999999999997E-3</v>
      </c>
      <c r="D54" s="223">
        <v>132817</v>
      </c>
    </row>
    <row r="55" spans="1:7" ht="13.8" x14ac:dyDescent="0.25">
      <c r="A55" s="192">
        <v>21900</v>
      </c>
      <c r="B55" s="194" t="s">
        <v>50</v>
      </c>
      <c r="C55" s="224">
        <v>2.4409000000000002E-3</v>
      </c>
      <c r="D55" s="225">
        <v>64069</v>
      </c>
    </row>
    <row r="56" spans="1:7" ht="13.8" x14ac:dyDescent="0.25">
      <c r="A56" s="192">
        <v>22000</v>
      </c>
      <c r="B56" s="194" t="s">
        <v>291</v>
      </c>
      <c r="C56" s="222">
        <v>3.2474000000000001E-3</v>
      </c>
      <c r="D56" s="223">
        <v>88979</v>
      </c>
    </row>
    <row r="57" spans="1:7" ht="13.8" x14ac:dyDescent="0.25">
      <c r="A57" s="192">
        <v>23000</v>
      </c>
      <c r="B57" s="194" t="s">
        <v>51</v>
      </c>
      <c r="C57" s="224">
        <v>2.4903999999999998E-3</v>
      </c>
      <c r="D57" s="225">
        <v>54264</v>
      </c>
    </row>
    <row r="58" spans="1:7" ht="13.8" x14ac:dyDescent="0.25">
      <c r="A58" s="192">
        <v>23100</v>
      </c>
      <c r="B58" s="194" t="s">
        <v>52</v>
      </c>
      <c r="C58" s="222">
        <v>1.6268299999999999E-2</v>
      </c>
      <c r="D58" s="223">
        <v>358241</v>
      </c>
    </row>
    <row r="59" spans="1:7" ht="13.8" x14ac:dyDescent="0.25">
      <c r="A59" s="192">
        <v>23200</v>
      </c>
      <c r="B59" s="194" t="s">
        <v>53</v>
      </c>
      <c r="C59" s="224">
        <v>9.3980000000000001E-3</v>
      </c>
      <c r="D59" s="225">
        <v>206247</v>
      </c>
    </row>
    <row r="60" spans="1:7" ht="13.8" x14ac:dyDescent="0.25">
      <c r="A60" s="192">
        <v>30000</v>
      </c>
      <c r="B60" s="194" t="s">
        <v>292</v>
      </c>
      <c r="C60" s="222">
        <v>7.1529999999999999E-4</v>
      </c>
      <c r="D60" s="223">
        <v>17064</v>
      </c>
    </row>
    <row r="61" spans="1:7" ht="13.8" x14ac:dyDescent="0.25">
      <c r="A61" s="192">
        <v>30100</v>
      </c>
      <c r="B61" s="194" t="s">
        <v>293</v>
      </c>
      <c r="C61" s="224">
        <v>7.0486999999999998E-3</v>
      </c>
      <c r="D61" s="225">
        <v>155018</v>
      </c>
    </row>
    <row r="62" spans="1:7" ht="13.8" x14ac:dyDescent="0.25">
      <c r="A62" s="192">
        <v>30102</v>
      </c>
      <c r="B62" s="194" t="s">
        <v>294</v>
      </c>
      <c r="C62" s="222">
        <v>2.284E-4</v>
      </c>
      <c r="D62" s="223">
        <v>4370</v>
      </c>
    </row>
    <row r="63" spans="1:7" ht="13.8" x14ac:dyDescent="0.25">
      <c r="A63" s="192">
        <v>30103</v>
      </c>
      <c r="B63" s="194" t="s">
        <v>295</v>
      </c>
      <c r="C63" s="224">
        <v>2.062E-4</v>
      </c>
      <c r="D63" s="225">
        <v>4254</v>
      </c>
    </row>
    <row r="64" spans="1:7" ht="13.8" x14ac:dyDescent="0.25">
      <c r="A64" s="238">
        <v>30104</v>
      </c>
      <c r="B64" s="239" t="s">
        <v>296</v>
      </c>
      <c r="C64" s="222">
        <v>1.695E-4</v>
      </c>
      <c r="D64" s="223">
        <v>3131</v>
      </c>
    </row>
    <row r="65" spans="1:4" ht="13.8" x14ac:dyDescent="0.25">
      <c r="A65" s="238">
        <v>30105</v>
      </c>
      <c r="B65" s="239" t="s">
        <v>54</v>
      </c>
      <c r="C65" s="224">
        <v>7.0890000000000005E-4</v>
      </c>
      <c r="D65" s="225">
        <v>17540</v>
      </c>
    </row>
    <row r="66" spans="1:4" ht="13.8" x14ac:dyDescent="0.25">
      <c r="A66" s="238">
        <v>30200</v>
      </c>
      <c r="B66" s="239" t="s">
        <v>297</v>
      </c>
      <c r="C66" s="222">
        <v>1.6195999999999999E-3</v>
      </c>
      <c r="D66" s="223">
        <v>37464</v>
      </c>
    </row>
    <row r="67" spans="1:4" ht="13.8" x14ac:dyDescent="0.25">
      <c r="A67" s="238">
        <v>30300</v>
      </c>
      <c r="B67" s="239" t="s">
        <v>298</v>
      </c>
      <c r="C67" s="224">
        <v>5.4100000000000003E-4</v>
      </c>
      <c r="D67" s="225">
        <v>12355</v>
      </c>
    </row>
    <row r="68" spans="1:4" ht="13.8" x14ac:dyDescent="0.25">
      <c r="A68" s="238">
        <v>30400</v>
      </c>
      <c r="B68" s="239" t="s">
        <v>299</v>
      </c>
      <c r="C68" s="222">
        <v>1.1233E-3</v>
      </c>
      <c r="D68" s="223">
        <v>25338</v>
      </c>
    </row>
    <row r="69" spans="1:4" ht="13.8" x14ac:dyDescent="0.25">
      <c r="A69" s="238">
        <v>30405</v>
      </c>
      <c r="B69" s="239" t="s">
        <v>55</v>
      </c>
      <c r="C69" s="224">
        <v>6.5749999999999999E-4</v>
      </c>
      <c r="D69" s="225">
        <v>15231</v>
      </c>
    </row>
    <row r="70" spans="1:4" ht="13.8" x14ac:dyDescent="0.25">
      <c r="A70" s="192">
        <v>30500</v>
      </c>
      <c r="B70" s="194" t="s">
        <v>300</v>
      </c>
      <c r="C70" s="222">
        <v>1.0296000000000001E-3</v>
      </c>
      <c r="D70" s="223">
        <v>24010</v>
      </c>
    </row>
    <row r="71" spans="1:4" ht="13.8" x14ac:dyDescent="0.25">
      <c r="A71" s="192">
        <v>30600</v>
      </c>
      <c r="B71" s="194" t="s">
        <v>301</v>
      </c>
      <c r="C71" s="224">
        <v>8.097E-4</v>
      </c>
      <c r="D71" s="225">
        <v>18108</v>
      </c>
    </row>
    <row r="72" spans="1:4" ht="13.8" x14ac:dyDescent="0.25">
      <c r="A72" s="192">
        <v>30700</v>
      </c>
      <c r="B72" s="194" t="s">
        <v>303</v>
      </c>
      <c r="C72" s="222">
        <v>1.9872000000000002E-3</v>
      </c>
      <c r="D72" s="223">
        <v>44695</v>
      </c>
    </row>
    <row r="73" spans="1:4" ht="13.8" x14ac:dyDescent="0.25">
      <c r="A73" s="192">
        <v>30705</v>
      </c>
      <c r="B73" s="194" t="s">
        <v>56</v>
      </c>
      <c r="C73" s="224">
        <v>4.6279999999999997E-4</v>
      </c>
      <c r="D73" s="225">
        <v>11060</v>
      </c>
    </row>
    <row r="74" spans="1:4" ht="13.8" x14ac:dyDescent="0.25">
      <c r="A74" s="192">
        <v>30800</v>
      </c>
      <c r="B74" s="194" t="s">
        <v>304</v>
      </c>
      <c r="C74" s="222">
        <v>6.223E-4</v>
      </c>
      <c r="D74" s="223">
        <v>14967</v>
      </c>
    </row>
    <row r="75" spans="1:4" ht="13.8" x14ac:dyDescent="0.25">
      <c r="A75" s="192">
        <v>30900</v>
      </c>
      <c r="B75" s="194" t="s">
        <v>305</v>
      </c>
      <c r="C75" s="224">
        <v>1.4044000000000001E-3</v>
      </c>
      <c r="D75" s="225">
        <v>36489</v>
      </c>
    </row>
    <row r="76" spans="1:4" ht="13.8" x14ac:dyDescent="0.25">
      <c r="A76" s="238">
        <v>30905</v>
      </c>
      <c r="B76" s="239" t="s">
        <v>57</v>
      </c>
      <c r="C76" s="222">
        <v>2.6929999999999999E-4</v>
      </c>
      <c r="D76" s="223">
        <v>7366</v>
      </c>
    </row>
    <row r="77" spans="1:4" ht="13.8" x14ac:dyDescent="0.25">
      <c r="A77" s="238">
        <v>31000</v>
      </c>
      <c r="B77" s="239" t="s">
        <v>306</v>
      </c>
      <c r="C77" s="224">
        <v>4.3949999999999996E-3</v>
      </c>
      <c r="D77" s="225">
        <v>101635</v>
      </c>
    </row>
    <row r="78" spans="1:4" ht="13.8" x14ac:dyDescent="0.25">
      <c r="A78" s="238">
        <v>31005</v>
      </c>
      <c r="B78" s="239" t="s">
        <v>58</v>
      </c>
      <c r="C78" s="222">
        <v>4.26E-4</v>
      </c>
      <c r="D78" s="223">
        <v>10810</v>
      </c>
    </row>
    <row r="79" spans="1:4" ht="13.8" x14ac:dyDescent="0.25">
      <c r="A79" s="238">
        <v>31100</v>
      </c>
      <c r="B79" s="239" t="s">
        <v>307</v>
      </c>
      <c r="C79" s="224">
        <v>8.2056000000000004E-3</v>
      </c>
      <c r="D79" s="225">
        <v>191496</v>
      </c>
    </row>
    <row r="80" spans="1:4" ht="13.8" x14ac:dyDescent="0.25">
      <c r="A80" s="238">
        <v>31101</v>
      </c>
      <c r="B80" s="196" t="s">
        <v>308</v>
      </c>
      <c r="C80" s="222">
        <v>5.0399999999999999E-5</v>
      </c>
      <c r="D80" s="223">
        <v>1286</v>
      </c>
    </row>
    <row r="81" spans="1:4" ht="13.8" x14ac:dyDescent="0.25">
      <c r="A81" s="238">
        <v>31102</v>
      </c>
      <c r="B81" s="239" t="s">
        <v>309</v>
      </c>
      <c r="C81" s="224">
        <v>1.5359999999999999E-4</v>
      </c>
      <c r="D81" s="225">
        <v>3089</v>
      </c>
    </row>
    <row r="82" spans="1:4" ht="13.8" x14ac:dyDescent="0.25">
      <c r="A82" s="192">
        <v>31105</v>
      </c>
      <c r="B82" s="194" t="s">
        <v>59</v>
      </c>
      <c r="C82" s="222">
        <v>1.3445E-3</v>
      </c>
      <c r="D82" s="223">
        <v>31043</v>
      </c>
    </row>
    <row r="83" spans="1:4" ht="13.8" x14ac:dyDescent="0.25">
      <c r="A83" s="192">
        <v>31110</v>
      </c>
      <c r="B83" s="194" t="s">
        <v>310</v>
      </c>
      <c r="C83" s="224">
        <v>1.9488999999999999E-3</v>
      </c>
      <c r="D83" s="225">
        <v>43685</v>
      </c>
    </row>
    <row r="84" spans="1:4" ht="13.8" x14ac:dyDescent="0.25">
      <c r="A84" s="192">
        <v>31200</v>
      </c>
      <c r="B84" s="194" t="s">
        <v>311</v>
      </c>
      <c r="C84" s="222">
        <v>3.6194999999999999E-3</v>
      </c>
      <c r="D84" s="223">
        <v>85024</v>
      </c>
    </row>
    <row r="85" spans="1:4" ht="13.8" x14ac:dyDescent="0.25">
      <c r="A85" s="192">
        <v>31205</v>
      </c>
      <c r="B85" s="194" t="s">
        <v>312</v>
      </c>
      <c r="C85" s="224">
        <v>3.7070000000000001E-4</v>
      </c>
      <c r="D85" s="225">
        <v>10255</v>
      </c>
    </row>
    <row r="86" spans="1:4" ht="13.8" x14ac:dyDescent="0.25">
      <c r="A86" s="192">
        <v>31300</v>
      </c>
      <c r="B86" s="194" t="s">
        <v>313</v>
      </c>
      <c r="C86" s="222">
        <v>1.0908299999999999E-2</v>
      </c>
      <c r="D86" s="223">
        <v>238489</v>
      </c>
    </row>
    <row r="87" spans="1:4" ht="13.8" x14ac:dyDescent="0.25">
      <c r="A87" s="192">
        <v>31301</v>
      </c>
      <c r="B87" s="194" t="s">
        <v>314</v>
      </c>
      <c r="C87" s="224">
        <v>2.0430000000000001E-4</v>
      </c>
      <c r="D87" s="225">
        <v>4235</v>
      </c>
    </row>
    <row r="88" spans="1:4" ht="13.8" x14ac:dyDescent="0.25">
      <c r="A88" s="238">
        <v>31320</v>
      </c>
      <c r="B88" s="239" t="s">
        <v>315</v>
      </c>
      <c r="C88" s="222">
        <v>1.8186000000000001E-3</v>
      </c>
      <c r="D88" s="223">
        <v>39082</v>
      </c>
    </row>
    <row r="89" spans="1:4" ht="13.8" x14ac:dyDescent="0.25">
      <c r="A89" s="238">
        <v>31400</v>
      </c>
      <c r="B89" s="239" t="s">
        <v>316</v>
      </c>
      <c r="C89" s="224">
        <v>3.4589999999999998E-3</v>
      </c>
      <c r="D89" s="225">
        <v>80926</v>
      </c>
    </row>
    <row r="90" spans="1:4" ht="13.8" x14ac:dyDescent="0.25">
      <c r="A90" s="238">
        <v>31405</v>
      </c>
      <c r="B90" s="239" t="s">
        <v>61</v>
      </c>
      <c r="C90" s="222">
        <v>8.4119999999999996E-4</v>
      </c>
      <c r="D90" s="223">
        <v>21247</v>
      </c>
    </row>
    <row r="91" spans="1:4" ht="13.8" x14ac:dyDescent="0.25">
      <c r="A91" s="238">
        <v>31500</v>
      </c>
      <c r="B91" s="239" t="s">
        <v>317</v>
      </c>
      <c r="C91" s="224">
        <v>6.5799999999999995E-4</v>
      </c>
      <c r="D91" s="225">
        <v>15907</v>
      </c>
    </row>
    <row r="92" spans="1:4" ht="13.8" x14ac:dyDescent="0.25">
      <c r="A92" s="238">
        <v>31600</v>
      </c>
      <c r="B92" s="239" t="s">
        <v>318</v>
      </c>
      <c r="C92" s="222">
        <v>2.7239999999999999E-3</v>
      </c>
      <c r="D92" s="223">
        <v>63006</v>
      </c>
    </row>
    <row r="93" spans="1:4" ht="13.8" x14ac:dyDescent="0.25">
      <c r="A93" s="238">
        <v>31605</v>
      </c>
      <c r="B93" s="239" t="s">
        <v>62</v>
      </c>
      <c r="C93" s="224">
        <v>4.483E-4</v>
      </c>
      <c r="D93" s="225">
        <v>11365</v>
      </c>
    </row>
    <row r="94" spans="1:4" ht="13.8" x14ac:dyDescent="0.25">
      <c r="A94" s="192">
        <v>31700</v>
      </c>
      <c r="B94" s="194" t="s">
        <v>319</v>
      </c>
      <c r="C94" s="222">
        <v>6.9939999999999998E-4</v>
      </c>
      <c r="D94" s="223">
        <v>16686</v>
      </c>
    </row>
    <row r="95" spans="1:4" ht="13.8" x14ac:dyDescent="0.25">
      <c r="A95" s="192">
        <v>31800</v>
      </c>
      <c r="B95" s="194" t="s">
        <v>320</v>
      </c>
      <c r="C95" s="224">
        <v>4.8479999999999999E-3</v>
      </c>
      <c r="D95" s="225">
        <v>112738</v>
      </c>
    </row>
    <row r="96" spans="1:4" ht="13.8" x14ac:dyDescent="0.25">
      <c r="A96" s="192">
        <v>31805</v>
      </c>
      <c r="B96" s="194" t="s">
        <v>63</v>
      </c>
      <c r="C96" s="222">
        <v>9.592E-4</v>
      </c>
      <c r="D96" s="223">
        <v>23914</v>
      </c>
    </row>
    <row r="97" spans="1:4" ht="13.8" x14ac:dyDescent="0.25">
      <c r="A97" s="192">
        <v>31810</v>
      </c>
      <c r="B97" s="194" t="s">
        <v>321</v>
      </c>
      <c r="C97" s="224">
        <v>1.1584E-3</v>
      </c>
      <c r="D97" s="225">
        <v>26960</v>
      </c>
    </row>
    <row r="98" spans="1:4" ht="13.8" x14ac:dyDescent="0.25">
      <c r="A98" s="192">
        <v>31820</v>
      </c>
      <c r="B98" s="194" t="s">
        <v>322</v>
      </c>
      <c r="C98" s="222">
        <v>9.3139999999999998E-4</v>
      </c>
      <c r="D98" s="223">
        <v>21910</v>
      </c>
    </row>
    <row r="99" spans="1:4" ht="13.8" x14ac:dyDescent="0.25">
      <c r="A99" s="192">
        <v>31900</v>
      </c>
      <c r="B99" s="194" t="s">
        <v>323</v>
      </c>
      <c r="C99" s="224">
        <v>3.1751000000000001E-3</v>
      </c>
      <c r="D99" s="225">
        <v>70913</v>
      </c>
    </row>
    <row r="100" spans="1:4" ht="13.8" x14ac:dyDescent="0.25">
      <c r="A100" s="238">
        <v>32000</v>
      </c>
      <c r="B100" s="239" t="s">
        <v>324</v>
      </c>
      <c r="C100" s="222">
        <v>1.1333000000000001E-3</v>
      </c>
      <c r="D100" s="223">
        <v>26544</v>
      </c>
    </row>
    <row r="101" spans="1:4" ht="13.8" x14ac:dyDescent="0.25">
      <c r="A101" s="238">
        <v>32005</v>
      </c>
      <c r="B101" s="239" t="s">
        <v>64</v>
      </c>
      <c r="C101" s="224">
        <v>3.123E-4</v>
      </c>
      <c r="D101" s="225">
        <v>6611</v>
      </c>
    </row>
    <row r="102" spans="1:4" ht="13.8" x14ac:dyDescent="0.25">
      <c r="A102" s="238">
        <v>32100</v>
      </c>
      <c r="B102" s="239" t="s">
        <v>325</v>
      </c>
      <c r="C102" s="222">
        <v>6.4039999999999995E-4</v>
      </c>
      <c r="D102" s="223">
        <v>15537</v>
      </c>
    </row>
    <row r="103" spans="1:4" ht="13.8" x14ac:dyDescent="0.25">
      <c r="A103" s="238">
        <v>32200</v>
      </c>
      <c r="B103" s="239" t="s">
        <v>326</v>
      </c>
      <c r="C103" s="224">
        <v>5.2579999999999999E-4</v>
      </c>
      <c r="D103" s="225">
        <v>11814</v>
      </c>
    </row>
    <row r="104" spans="1:4" ht="13.8" x14ac:dyDescent="0.25">
      <c r="A104" s="238">
        <v>32300</v>
      </c>
      <c r="B104" s="239" t="s">
        <v>327</v>
      </c>
      <c r="C104" s="222">
        <v>4.6969000000000004E-3</v>
      </c>
      <c r="D104" s="223">
        <v>108852</v>
      </c>
    </row>
    <row r="105" spans="1:4" ht="13.8" x14ac:dyDescent="0.25">
      <c r="A105" s="238">
        <v>32305</v>
      </c>
      <c r="B105" s="196" t="s">
        <v>328</v>
      </c>
      <c r="C105" s="224">
        <v>6.1470000000000003E-4</v>
      </c>
      <c r="D105" s="225">
        <v>14101</v>
      </c>
    </row>
    <row r="106" spans="1:4" ht="13.8" x14ac:dyDescent="0.25">
      <c r="A106" s="192">
        <v>32400</v>
      </c>
      <c r="B106" s="194" t="s">
        <v>329</v>
      </c>
      <c r="C106" s="222">
        <v>1.7634E-3</v>
      </c>
      <c r="D106" s="223">
        <v>40071</v>
      </c>
    </row>
    <row r="107" spans="1:4" ht="13.8" x14ac:dyDescent="0.25">
      <c r="A107" s="192">
        <v>32405</v>
      </c>
      <c r="B107" s="194" t="s">
        <v>66</v>
      </c>
      <c r="C107" s="224">
        <v>4.3869999999999998E-4</v>
      </c>
      <c r="D107" s="225">
        <v>10714</v>
      </c>
    </row>
    <row r="108" spans="1:4" ht="13.8" x14ac:dyDescent="0.25">
      <c r="A108" s="192">
        <v>32410</v>
      </c>
      <c r="B108" s="194" t="s">
        <v>330</v>
      </c>
      <c r="C108" s="222">
        <v>7.4899999999999999E-4</v>
      </c>
      <c r="D108" s="223">
        <v>18312</v>
      </c>
    </row>
    <row r="109" spans="1:4" ht="13.8" x14ac:dyDescent="0.25">
      <c r="A109" s="192">
        <v>32500</v>
      </c>
      <c r="B109" s="194" t="s">
        <v>331</v>
      </c>
      <c r="C109" s="224">
        <v>4.1386000000000001E-3</v>
      </c>
      <c r="D109" s="225">
        <v>91361</v>
      </c>
    </row>
    <row r="110" spans="1:4" ht="13.8" x14ac:dyDescent="0.25">
      <c r="A110" s="192">
        <v>32505</v>
      </c>
      <c r="B110" s="194" t="s">
        <v>67</v>
      </c>
      <c r="C110" s="222">
        <v>6.7750000000000004E-4</v>
      </c>
      <c r="D110" s="223">
        <v>16497</v>
      </c>
    </row>
    <row r="111" spans="1:4" ht="13.8" x14ac:dyDescent="0.25">
      <c r="A111" s="192">
        <v>32600</v>
      </c>
      <c r="B111" s="194" t="s">
        <v>332</v>
      </c>
      <c r="C111" s="224">
        <v>1.43944E-2</v>
      </c>
      <c r="D111" s="225">
        <v>325060</v>
      </c>
    </row>
    <row r="112" spans="1:4" ht="13.8" x14ac:dyDescent="0.25">
      <c r="A112" s="192">
        <v>32605</v>
      </c>
      <c r="B112" s="194" t="s">
        <v>68</v>
      </c>
      <c r="C112" s="222">
        <v>2.5148000000000002E-3</v>
      </c>
      <c r="D112" s="223">
        <v>60450</v>
      </c>
    </row>
    <row r="113" spans="1:4" ht="13.8" x14ac:dyDescent="0.25">
      <c r="A113" s="192">
        <v>32700</v>
      </c>
      <c r="B113" s="194" t="s">
        <v>333</v>
      </c>
      <c r="C113" s="224">
        <v>1.6207000000000001E-3</v>
      </c>
      <c r="D113" s="225">
        <v>34665</v>
      </c>
    </row>
    <row r="114" spans="1:4" ht="13.8" x14ac:dyDescent="0.25">
      <c r="A114" s="192">
        <v>32800</v>
      </c>
      <c r="B114" s="194" t="s">
        <v>334</v>
      </c>
      <c r="C114" s="222">
        <v>2.0906000000000002E-3</v>
      </c>
      <c r="D114" s="223">
        <v>46177</v>
      </c>
    </row>
    <row r="115" spans="1:4" ht="13.8" x14ac:dyDescent="0.25">
      <c r="A115" s="192">
        <v>32900</v>
      </c>
      <c r="B115" s="194" t="s">
        <v>335</v>
      </c>
      <c r="C115" s="224">
        <v>5.2716999999999998E-3</v>
      </c>
      <c r="D115" s="225">
        <v>117869</v>
      </c>
    </row>
    <row r="116" spans="1:4" ht="13.8" x14ac:dyDescent="0.25">
      <c r="A116" s="192">
        <v>32901</v>
      </c>
      <c r="B116" s="194" t="s">
        <v>336</v>
      </c>
      <c r="C116" s="224"/>
      <c r="D116" s="225">
        <v>13</v>
      </c>
    </row>
    <row r="117" spans="1:4" ht="13.8" x14ac:dyDescent="0.25">
      <c r="A117" s="192">
        <v>32904</v>
      </c>
      <c r="B117" s="194" t="s">
        <v>337</v>
      </c>
      <c r="C117" s="222">
        <v>1.047E-4</v>
      </c>
      <c r="D117" s="223">
        <v>1971</v>
      </c>
    </row>
    <row r="118" spans="1:4" ht="13.8" x14ac:dyDescent="0.25">
      <c r="A118" s="192">
        <v>32905</v>
      </c>
      <c r="B118" s="194" t="s">
        <v>69</v>
      </c>
      <c r="C118" s="224">
        <v>7.5699999999999997E-4</v>
      </c>
      <c r="D118" s="225">
        <v>18792</v>
      </c>
    </row>
    <row r="119" spans="1:4" ht="13.8" x14ac:dyDescent="0.25">
      <c r="A119" s="238">
        <v>32910</v>
      </c>
      <c r="B119" s="239" t="s">
        <v>338</v>
      </c>
      <c r="C119" s="222">
        <v>9.7360000000000003E-4</v>
      </c>
      <c r="D119" s="223">
        <v>21988</v>
      </c>
    </row>
    <row r="120" spans="1:4" ht="13.8" x14ac:dyDescent="0.25">
      <c r="A120" s="238">
        <v>32915</v>
      </c>
      <c r="B120" s="239" t="s">
        <v>549</v>
      </c>
      <c r="C120" s="224">
        <v>1.371E-4</v>
      </c>
      <c r="D120" s="225">
        <v>2602</v>
      </c>
    </row>
    <row r="121" spans="1:4" ht="13.8" x14ac:dyDescent="0.25">
      <c r="A121" s="238">
        <v>32920</v>
      </c>
      <c r="B121" s="239" t="s">
        <v>340</v>
      </c>
      <c r="C121" s="222">
        <v>7.0839999999999998E-4</v>
      </c>
      <c r="D121" s="223">
        <v>16772</v>
      </c>
    </row>
    <row r="122" spans="1:4" ht="13.8" x14ac:dyDescent="0.25">
      <c r="A122" s="238">
        <v>33000</v>
      </c>
      <c r="B122" s="239" t="s">
        <v>341</v>
      </c>
      <c r="C122" s="224">
        <v>2.0024999999999999E-3</v>
      </c>
      <c r="D122" s="225">
        <v>45882</v>
      </c>
    </row>
    <row r="123" spans="1:4" ht="13.8" x14ac:dyDescent="0.25">
      <c r="A123" s="238">
        <v>33001</v>
      </c>
      <c r="B123" s="239" t="s">
        <v>342</v>
      </c>
      <c r="C123" s="222">
        <v>2.5199999999999999E-5</v>
      </c>
      <c r="D123" s="223">
        <v>707</v>
      </c>
    </row>
    <row r="124" spans="1:4" ht="13.8" x14ac:dyDescent="0.25">
      <c r="A124" s="238">
        <v>33027</v>
      </c>
      <c r="B124" s="196" t="s">
        <v>343</v>
      </c>
      <c r="C124" s="224">
        <v>3.3399999999999999E-4</v>
      </c>
      <c r="D124" s="225">
        <v>7046</v>
      </c>
    </row>
    <row r="125" spans="1:4" ht="13.8" x14ac:dyDescent="0.25">
      <c r="A125" s="192">
        <v>33100</v>
      </c>
      <c r="B125" s="194" t="s">
        <v>344</v>
      </c>
      <c r="C125" s="222">
        <v>2.8235999999999999E-3</v>
      </c>
      <c r="D125" s="223">
        <v>66290</v>
      </c>
    </row>
    <row r="126" spans="1:4" ht="13.8" x14ac:dyDescent="0.25">
      <c r="A126" s="192">
        <v>33105</v>
      </c>
      <c r="B126" s="194" t="s">
        <v>70</v>
      </c>
      <c r="C126" s="224">
        <v>3.392E-4</v>
      </c>
      <c r="D126" s="225">
        <v>8941</v>
      </c>
    </row>
    <row r="127" spans="1:4" ht="13.8" x14ac:dyDescent="0.25">
      <c r="A127" s="192">
        <v>33200</v>
      </c>
      <c r="B127" s="194" t="s">
        <v>345</v>
      </c>
      <c r="C127" s="222">
        <v>1.3715099999999999E-2</v>
      </c>
      <c r="D127" s="223">
        <v>294498</v>
      </c>
    </row>
    <row r="128" spans="1:4" ht="13.8" x14ac:dyDescent="0.25">
      <c r="A128" s="192">
        <v>33202</v>
      </c>
      <c r="B128" s="194" t="s">
        <v>346</v>
      </c>
      <c r="C128" s="224">
        <v>2.5119999999999998E-4</v>
      </c>
      <c r="D128" s="225">
        <v>4440</v>
      </c>
    </row>
    <row r="129" spans="1:5" ht="13.8" x14ac:dyDescent="0.25">
      <c r="A129" s="192">
        <v>33203</v>
      </c>
      <c r="B129" s="194" t="s">
        <v>347</v>
      </c>
      <c r="C129" s="222">
        <v>2.8860000000000002E-4</v>
      </c>
      <c r="D129" s="223">
        <v>5030</v>
      </c>
    </row>
    <row r="130" spans="1:5" ht="13.8" x14ac:dyDescent="0.25">
      <c r="A130" s="192">
        <v>33204</v>
      </c>
      <c r="B130" s="194" t="s">
        <v>348</v>
      </c>
      <c r="C130" s="224">
        <v>4.2620000000000001E-4</v>
      </c>
      <c r="D130" s="225">
        <v>8877</v>
      </c>
    </row>
    <row r="131" spans="1:5" ht="13.8" x14ac:dyDescent="0.25">
      <c r="A131" s="238">
        <v>33205</v>
      </c>
      <c r="B131" s="239" t="s">
        <v>71</v>
      </c>
      <c r="C131" s="222">
        <v>1.196E-3</v>
      </c>
      <c r="D131" s="223">
        <v>27872</v>
      </c>
    </row>
    <row r="132" spans="1:5" ht="13.8" x14ac:dyDescent="0.25">
      <c r="A132" s="238">
        <v>33206</v>
      </c>
      <c r="B132" s="239" t="s">
        <v>349</v>
      </c>
      <c r="C132" s="224">
        <v>1.145E-4</v>
      </c>
      <c r="D132" s="225">
        <v>2681</v>
      </c>
    </row>
    <row r="133" spans="1:5" ht="13.8" x14ac:dyDescent="0.25">
      <c r="A133" s="238">
        <v>33207</v>
      </c>
      <c r="B133" s="239" t="s">
        <v>350</v>
      </c>
      <c r="C133" s="222">
        <v>4.5639999999999998E-4</v>
      </c>
      <c r="D133" s="223">
        <v>8044</v>
      </c>
    </row>
    <row r="134" spans="1:5" ht="13.8" x14ac:dyDescent="0.25">
      <c r="A134" s="238">
        <v>33300</v>
      </c>
      <c r="B134" s="239" t="s">
        <v>352</v>
      </c>
      <c r="C134" s="224">
        <v>1.9418E-3</v>
      </c>
      <c r="D134" s="225">
        <v>43343</v>
      </c>
      <c r="E134" s="2"/>
    </row>
    <row r="135" spans="1:5" ht="13.8" x14ac:dyDescent="0.25">
      <c r="A135" s="238">
        <v>33305</v>
      </c>
      <c r="B135" s="239" t="s">
        <v>72</v>
      </c>
      <c r="C135" s="222">
        <v>4.0259999999999997E-4</v>
      </c>
      <c r="D135" s="223">
        <v>10179</v>
      </c>
    </row>
    <row r="136" spans="1:5" ht="13.8" x14ac:dyDescent="0.25">
      <c r="A136" s="238">
        <v>33400</v>
      </c>
      <c r="B136" s="239" t="s">
        <v>353</v>
      </c>
      <c r="C136" s="224">
        <v>1.8762600000000001E-2</v>
      </c>
      <c r="D136" s="225">
        <v>420089</v>
      </c>
    </row>
    <row r="137" spans="1:5" ht="13.8" x14ac:dyDescent="0.25">
      <c r="A137" s="192">
        <v>33402</v>
      </c>
      <c r="B137" s="194" t="s">
        <v>354</v>
      </c>
      <c r="C137" s="222">
        <v>1.7359999999999999E-4</v>
      </c>
      <c r="D137" s="223">
        <v>3443</v>
      </c>
    </row>
    <row r="138" spans="1:5" ht="13.8" x14ac:dyDescent="0.25">
      <c r="A138" s="192">
        <v>33405</v>
      </c>
      <c r="B138" s="194" t="s">
        <v>73</v>
      </c>
      <c r="C138" s="224">
        <v>1.7894E-3</v>
      </c>
      <c r="D138" s="225">
        <v>41201</v>
      </c>
    </row>
    <row r="139" spans="1:5" ht="13.8" x14ac:dyDescent="0.25">
      <c r="A139" s="192">
        <v>33500</v>
      </c>
      <c r="B139" s="194" t="s">
        <v>355</v>
      </c>
      <c r="C139" s="222">
        <v>2.5933000000000002E-3</v>
      </c>
      <c r="D139" s="223">
        <v>58855</v>
      </c>
    </row>
    <row r="140" spans="1:5" ht="13.8" x14ac:dyDescent="0.25">
      <c r="A140" s="192">
        <v>33501</v>
      </c>
      <c r="B140" s="194" t="s">
        <v>356</v>
      </c>
      <c r="C140" s="224">
        <v>1.0900000000000001E-4</v>
      </c>
      <c r="D140" s="225">
        <v>2450</v>
      </c>
    </row>
    <row r="141" spans="1:5" ht="13.8" x14ac:dyDescent="0.25">
      <c r="A141" s="192">
        <v>33600</v>
      </c>
      <c r="B141" s="194" t="s">
        <v>357</v>
      </c>
      <c r="C141" s="222">
        <v>8.9037999999999999E-3</v>
      </c>
      <c r="D141" s="223">
        <v>198200</v>
      </c>
    </row>
    <row r="142" spans="1:5" ht="13.8" x14ac:dyDescent="0.25">
      <c r="A142" s="192">
        <v>33605</v>
      </c>
      <c r="B142" s="194" t="s">
        <v>74</v>
      </c>
      <c r="C142" s="224">
        <v>1.1516E-3</v>
      </c>
      <c r="D142" s="225">
        <v>29920</v>
      </c>
    </row>
    <row r="143" spans="1:5" ht="13.8" x14ac:dyDescent="0.25">
      <c r="A143" s="238">
        <v>33700</v>
      </c>
      <c r="B143" s="239" t="s">
        <v>358</v>
      </c>
      <c r="C143" s="222">
        <v>5.9590000000000001E-4</v>
      </c>
      <c r="D143" s="223">
        <v>13689</v>
      </c>
    </row>
    <row r="144" spans="1:5" ht="13.8" x14ac:dyDescent="0.25">
      <c r="A144" s="238">
        <v>33800</v>
      </c>
      <c r="B144" s="239" t="s">
        <v>359</v>
      </c>
      <c r="C144" s="224">
        <v>4.841E-4</v>
      </c>
      <c r="D144" s="225">
        <v>11673</v>
      </c>
    </row>
    <row r="145" spans="1:4" ht="13.8" x14ac:dyDescent="0.25">
      <c r="A145" s="238">
        <v>33900</v>
      </c>
      <c r="B145" s="239" t="s">
        <v>550</v>
      </c>
      <c r="C145" s="222">
        <v>2.0947000000000001E-3</v>
      </c>
      <c r="D145" s="223">
        <v>48473</v>
      </c>
    </row>
    <row r="146" spans="1:4" ht="13.8" x14ac:dyDescent="0.25">
      <c r="A146" s="238">
        <v>34000</v>
      </c>
      <c r="B146" s="239" t="s">
        <v>361</v>
      </c>
      <c r="C146" s="224">
        <v>1.1655000000000001E-3</v>
      </c>
      <c r="D146" s="225">
        <v>25978</v>
      </c>
    </row>
    <row r="147" spans="1:4" ht="13.8" x14ac:dyDescent="0.25">
      <c r="A147" s="238">
        <v>34100</v>
      </c>
      <c r="B147" s="239" t="s">
        <v>362</v>
      </c>
      <c r="C147" s="222">
        <v>2.4531899999999999E-2</v>
      </c>
      <c r="D147" s="223">
        <v>537692</v>
      </c>
    </row>
    <row r="148" spans="1:4" ht="13.8" x14ac:dyDescent="0.25">
      <c r="A148" s="238">
        <v>34105</v>
      </c>
      <c r="B148" s="239" t="s">
        <v>75</v>
      </c>
      <c r="C148" s="224">
        <v>1.8471E-3</v>
      </c>
      <c r="D148" s="225">
        <v>49499</v>
      </c>
    </row>
    <row r="149" spans="1:4" ht="13.8" x14ac:dyDescent="0.25">
      <c r="A149" s="192">
        <v>34200</v>
      </c>
      <c r="B149" s="194" t="s">
        <v>363</v>
      </c>
      <c r="C149" s="222">
        <v>6.3440000000000002E-4</v>
      </c>
      <c r="D149" s="223">
        <v>16067</v>
      </c>
    </row>
    <row r="150" spans="1:4" ht="13.8" x14ac:dyDescent="0.25">
      <c r="A150" s="192">
        <v>34205</v>
      </c>
      <c r="B150" s="194" t="s">
        <v>76</v>
      </c>
      <c r="C150" s="224">
        <v>2.4699999999999999E-4</v>
      </c>
      <c r="D150" s="225">
        <v>6775</v>
      </c>
    </row>
    <row r="151" spans="1:4" ht="13.8" x14ac:dyDescent="0.25">
      <c r="A151" s="192">
        <v>34220</v>
      </c>
      <c r="B151" s="194" t="s">
        <v>364</v>
      </c>
      <c r="C151" s="222">
        <v>9.2909999999999998E-4</v>
      </c>
      <c r="D151" s="223">
        <v>21500</v>
      </c>
    </row>
    <row r="152" spans="1:4" ht="13.8" x14ac:dyDescent="0.25">
      <c r="A152" s="192">
        <v>34230</v>
      </c>
      <c r="B152" s="194" t="s">
        <v>365</v>
      </c>
      <c r="C152" s="224">
        <v>3.2509999999999999E-4</v>
      </c>
      <c r="D152" s="225">
        <v>7610</v>
      </c>
    </row>
    <row r="153" spans="1:4" ht="13.8" x14ac:dyDescent="0.25">
      <c r="A153" s="192">
        <v>34300</v>
      </c>
      <c r="B153" s="194" t="s">
        <v>366</v>
      </c>
      <c r="C153" s="222">
        <v>5.7679999999999997E-3</v>
      </c>
      <c r="D153" s="223">
        <v>125052</v>
      </c>
    </row>
    <row r="154" spans="1:4" ht="13.8" x14ac:dyDescent="0.25">
      <c r="A154" s="192">
        <v>34400</v>
      </c>
      <c r="B154" s="194" t="s">
        <v>367</v>
      </c>
      <c r="C154" s="224">
        <v>2.2150999999999998E-3</v>
      </c>
      <c r="D154" s="225">
        <v>49623</v>
      </c>
    </row>
    <row r="155" spans="1:4" ht="13.8" x14ac:dyDescent="0.25">
      <c r="A155" s="238">
        <v>34405</v>
      </c>
      <c r="B155" s="239" t="s">
        <v>77</v>
      </c>
      <c r="C155" s="222">
        <v>3.8660000000000002E-4</v>
      </c>
      <c r="D155" s="223">
        <v>9262</v>
      </c>
    </row>
    <row r="156" spans="1:4" ht="13.8" x14ac:dyDescent="0.25">
      <c r="A156" s="238">
        <v>34500</v>
      </c>
      <c r="B156" s="239" t="s">
        <v>368</v>
      </c>
      <c r="C156" s="224">
        <v>4.3883000000000004E-3</v>
      </c>
      <c r="D156" s="225">
        <v>96672</v>
      </c>
    </row>
    <row r="157" spans="1:4" ht="13.8" x14ac:dyDescent="0.25">
      <c r="A157" s="238">
        <v>34501</v>
      </c>
      <c r="B157" s="239" t="s">
        <v>369</v>
      </c>
      <c r="C157" s="222">
        <v>6.4200000000000002E-5</v>
      </c>
      <c r="D157" s="223">
        <v>1254</v>
      </c>
    </row>
    <row r="158" spans="1:4" ht="13.8" x14ac:dyDescent="0.25">
      <c r="A158" s="238">
        <v>34505</v>
      </c>
      <c r="B158" s="239" t="s">
        <v>78</v>
      </c>
      <c r="C158" s="224">
        <v>6.8400000000000004E-4</v>
      </c>
      <c r="D158" s="225">
        <v>15646</v>
      </c>
    </row>
    <row r="159" spans="1:4" ht="13.8" x14ac:dyDescent="0.25">
      <c r="A159" s="238">
        <v>34600</v>
      </c>
      <c r="B159" s="239" t="s">
        <v>370</v>
      </c>
      <c r="C159" s="222">
        <v>9.2250000000000003E-4</v>
      </c>
      <c r="D159" s="223">
        <v>21809</v>
      </c>
    </row>
    <row r="160" spans="1:4" ht="13.8" x14ac:dyDescent="0.25">
      <c r="A160" s="238">
        <v>34605</v>
      </c>
      <c r="B160" s="239" t="s">
        <v>79</v>
      </c>
      <c r="C160" s="224">
        <v>1.7809999999999999E-4</v>
      </c>
      <c r="D160" s="225">
        <v>3988</v>
      </c>
    </row>
    <row r="161" spans="1:4" ht="13.8" x14ac:dyDescent="0.25">
      <c r="A161" s="192">
        <v>34700</v>
      </c>
      <c r="B161" s="194" t="s">
        <v>371</v>
      </c>
      <c r="C161" s="222">
        <v>2.8888999999999998E-3</v>
      </c>
      <c r="D161" s="223">
        <v>59977</v>
      </c>
    </row>
    <row r="162" spans="1:4" ht="13.8" x14ac:dyDescent="0.25">
      <c r="A162" s="192">
        <v>34800</v>
      </c>
      <c r="B162" s="194" t="s">
        <v>372</v>
      </c>
      <c r="C162" s="224">
        <v>2.7E-4</v>
      </c>
      <c r="D162" s="225">
        <v>6984</v>
      </c>
    </row>
    <row r="163" spans="1:4" ht="13.8" x14ac:dyDescent="0.25">
      <c r="A163" s="192">
        <v>34900</v>
      </c>
      <c r="B163" s="194" t="s">
        <v>373</v>
      </c>
      <c r="C163" s="222">
        <v>6.4415000000000002E-3</v>
      </c>
      <c r="D163" s="223">
        <v>146440</v>
      </c>
    </row>
    <row r="164" spans="1:4" ht="13.8" x14ac:dyDescent="0.25">
      <c r="A164" s="192">
        <v>34901</v>
      </c>
      <c r="B164" s="194" t="s">
        <v>374</v>
      </c>
      <c r="C164" s="224">
        <v>1.9239999999999999E-4</v>
      </c>
      <c r="D164" s="225">
        <v>4259</v>
      </c>
    </row>
    <row r="165" spans="1:4" ht="13.8" x14ac:dyDescent="0.25">
      <c r="A165" s="192">
        <v>34903</v>
      </c>
      <c r="B165" s="194" t="s">
        <v>375</v>
      </c>
      <c r="C165" s="222">
        <v>2.6800000000000001E-5</v>
      </c>
      <c r="D165" s="223">
        <v>689</v>
      </c>
    </row>
    <row r="166" spans="1:4" ht="13.8" x14ac:dyDescent="0.25">
      <c r="A166" s="192">
        <v>34905</v>
      </c>
      <c r="B166" s="194" t="s">
        <v>80</v>
      </c>
      <c r="C166" s="224">
        <v>5.3010000000000004E-4</v>
      </c>
      <c r="D166" s="225">
        <v>13464</v>
      </c>
    </row>
    <row r="167" spans="1:4" ht="13.8" x14ac:dyDescent="0.25">
      <c r="A167" s="192">
        <v>34910</v>
      </c>
      <c r="B167" s="194" t="s">
        <v>376</v>
      </c>
      <c r="C167" s="222">
        <v>2.0076999999999998E-3</v>
      </c>
      <c r="D167" s="223">
        <v>45350</v>
      </c>
    </row>
    <row r="168" spans="1:4" ht="13.8" x14ac:dyDescent="0.25">
      <c r="A168" s="192">
        <v>35000</v>
      </c>
      <c r="B168" s="194" t="s">
        <v>377</v>
      </c>
      <c r="C168" s="224">
        <v>1.3733E-3</v>
      </c>
      <c r="D168" s="225">
        <v>29505</v>
      </c>
    </row>
    <row r="169" spans="1:4" ht="13.8" x14ac:dyDescent="0.25">
      <c r="A169" s="192">
        <v>35005</v>
      </c>
      <c r="B169" s="194" t="s">
        <v>81</v>
      </c>
      <c r="C169" s="222">
        <v>4.9129999999999996E-4</v>
      </c>
      <c r="D169" s="223">
        <v>12000</v>
      </c>
    </row>
    <row r="170" spans="1:4" ht="13.8" x14ac:dyDescent="0.25">
      <c r="A170" s="192">
        <v>35100</v>
      </c>
      <c r="B170" s="194" t="s">
        <v>378</v>
      </c>
      <c r="C170" s="224">
        <v>1.1585099999999999E-2</v>
      </c>
      <c r="D170" s="225">
        <v>256693</v>
      </c>
    </row>
    <row r="171" spans="1:4" ht="13.8" x14ac:dyDescent="0.25">
      <c r="A171" s="192">
        <v>35105</v>
      </c>
      <c r="B171" s="194" t="s">
        <v>82</v>
      </c>
      <c r="C171" s="222">
        <v>1.0166999999999999E-3</v>
      </c>
      <c r="D171" s="223">
        <v>23560</v>
      </c>
    </row>
    <row r="172" spans="1:4" ht="13.8" x14ac:dyDescent="0.25">
      <c r="A172" s="192">
        <v>35106</v>
      </c>
      <c r="B172" s="194" t="s">
        <v>379</v>
      </c>
      <c r="C172" s="224">
        <v>2.0770000000000001E-4</v>
      </c>
      <c r="D172" s="225">
        <v>4341</v>
      </c>
    </row>
    <row r="173" spans="1:4" ht="13.8" x14ac:dyDescent="0.25">
      <c r="A173" s="238">
        <v>35200</v>
      </c>
      <c r="B173" s="240" t="s">
        <v>380</v>
      </c>
      <c r="C173" s="222">
        <v>4.281E-4</v>
      </c>
      <c r="D173" s="223">
        <v>10657</v>
      </c>
    </row>
    <row r="174" spans="1:4" ht="13.8" x14ac:dyDescent="0.25">
      <c r="A174" s="238">
        <v>35300</v>
      </c>
      <c r="B174" s="240" t="s">
        <v>381</v>
      </c>
      <c r="C174" s="224">
        <v>3.2135000000000002E-3</v>
      </c>
      <c r="D174" s="225">
        <v>68987</v>
      </c>
    </row>
    <row r="175" spans="1:4" ht="13.8" x14ac:dyDescent="0.25">
      <c r="A175" s="238">
        <v>35305</v>
      </c>
      <c r="B175" s="239" t="s">
        <v>83</v>
      </c>
      <c r="C175" s="222">
        <v>1.2375999999999999E-3</v>
      </c>
      <c r="D175" s="223">
        <v>28745</v>
      </c>
    </row>
    <row r="176" spans="1:4" ht="13.8" x14ac:dyDescent="0.25">
      <c r="A176" s="238">
        <v>35400</v>
      </c>
      <c r="B176" s="239" t="s">
        <v>382</v>
      </c>
      <c r="C176" s="224">
        <v>2.738E-3</v>
      </c>
      <c r="D176" s="225">
        <v>61674</v>
      </c>
    </row>
    <row r="177" spans="1:4" ht="13.8" x14ac:dyDescent="0.25">
      <c r="A177" s="238">
        <v>35401</v>
      </c>
      <c r="B177" s="239" t="s">
        <v>383</v>
      </c>
      <c r="C177" s="222">
        <v>2.0800000000000001E-5</v>
      </c>
      <c r="D177" s="223">
        <v>446</v>
      </c>
    </row>
    <row r="178" spans="1:4" ht="13.8" x14ac:dyDescent="0.25">
      <c r="A178" s="238">
        <v>35405</v>
      </c>
      <c r="B178" s="239" t="s">
        <v>84</v>
      </c>
      <c r="C178" s="224">
        <v>7.1549999999999999E-4</v>
      </c>
      <c r="D178" s="225">
        <v>15932</v>
      </c>
    </row>
    <row r="179" spans="1:4" ht="13.8" x14ac:dyDescent="0.25">
      <c r="A179" s="192">
        <v>35500</v>
      </c>
      <c r="B179" s="194" t="s">
        <v>384</v>
      </c>
      <c r="C179" s="222">
        <v>3.5677E-3</v>
      </c>
      <c r="D179" s="223">
        <v>82699</v>
      </c>
    </row>
    <row r="180" spans="1:4" ht="13.8" x14ac:dyDescent="0.25">
      <c r="A180" s="192">
        <v>35600</v>
      </c>
      <c r="B180" s="194" t="s">
        <v>385</v>
      </c>
      <c r="C180" s="224">
        <v>1.5873E-3</v>
      </c>
      <c r="D180" s="225">
        <v>35072</v>
      </c>
    </row>
    <row r="181" spans="1:4" ht="13.8" x14ac:dyDescent="0.25">
      <c r="A181" s="192">
        <v>35700</v>
      </c>
      <c r="B181" s="194" t="s">
        <v>386</v>
      </c>
      <c r="C181" s="222">
        <v>8.2039999999999999E-4</v>
      </c>
      <c r="D181" s="223">
        <v>19767</v>
      </c>
    </row>
    <row r="182" spans="1:4" ht="13.8" x14ac:dyDescent="0.25">
      <c r="A182" s="192">
        <v>35800</v>
      </c>
      <c r="B182" s="194" t="s">
        <v>387</v>
      </c>
      <c r="C182" s="224">
        <v>9.7970000000000002E-4</v>
      </c>
      <c r="D182" s="225">
        <v>22634</v>
      </c>
    </row>
    <row r="183" spans="1:4" ht="13.8" x14ac:dyDescent="0.25">
      <c r="A183" s="192">
        <v>35805</v>
      </c>
      <c r="B183" s="194" t="s">
        <v>85</v>
      </c>
      <c r="C183" s="222">
        <v>1.9780000000000001E-4</v>
      </c>
      <c r="D183" s="223">
        <v>5492</v>
      </c>
    </row>
    <row r="184" spans="1:4" ht="13.8" x14ac:dyDescent="0.25">
      <c r="A184" s="192">
        <v>35900</v>
      </c>
      <c r="B184" s="194" t="s">
        <v>388</v>
      </c>
      <c r="C184" s="224">
        <v>1.8893E-3</v>
      </c>
      <c r="D184" s="225">
        <v>44681</v>
      </c>
    </row>
    <row r="185" spans="1:4" ht="13.8" x14ac:dyDescent="0.25">
      <c r="A185" s="238">
        <v>35905</v>
      </c>
      <c r="B185" s="239" t="s">
        <v>86</v>
      </c>
      <c r="C185" s="222">
        <v>2.9639999999999999E-4</v>
      </c>
      <c r="D185" s="223">
        <v>7678</v>
      </c>
    </row>
    <row r="186" spans="1:4" ht="13.8" x14ac:dyDescent="0.25">
      <c r="A186" s="238">
        <v>36000</v>
      </c>
      <c r="B186" s="239" t="s">
        <v>389</v>
      </c>
      <c r="C186" s="224">
        <v>5.1671099999999998E-2</v>
      </c>
      <c r="D186" s="225">
        <v>1118330</v>
      </c>
    </row>
    <row r="187" spans="1:4" ht="13.8" x14ac:dyDescent="0.25">
      <c r="A187" s="238">
        <v>36003</v>
      </c>
      <c r="B187" s="239" t="s">
        <v>391</v>
      </c>
      <c r="C187" s="222">
        <v>3.7050000000000001E-4</v>
      </c>
      <c r="D187" s="223">
        <v>8386</v>
      </c>
    </row>
    <row r="188" spans="1:4" ht="13.8" x14ac:dyDescent="0.25">
      <c r="A188" s="238">
        <v>36004</v>
      </c>
      <c r="B188" s="239" t="s">
        <v>392</v>
      </c>
      <c r="C188" s="224">
        <v>3.077E-4</v>
      </c>
      <c r="D188" s="225">
        <v>6333</v>
      </c>
    </row>
    <row r="189" spans="1:4" ht="13.8" x14ac:dyDescent="0.25">
      <c r="A189" s="238">
        <v>36005</v>
      </c>
      <c r="B189" s="196" t="s">
        <v>87</v>
      </c>
      <c r="C189" s="222">
        <v>3.7672000000000001E-3</v>
      </c>
      <c r="D189" s="223">
        <v>86862</v>
      </c>
    </row>
    <row r="190" spans="1:4" ht="13.8" x14ac:dyDescent="0.25">
      <c r="A190" s="238">
        <v>36006</v>
      </c>
      <c r="B190" s="239" t="s">
        <v>393</v>
      </c>
      <c r="C190" s="224">
        <v>6.0059999999999996E-4</v>
      </c>
      <c r="D190" s="225">
        <v>12563</v>
      </c>
    </row>
    <row r="191" spans="1:4" ht="13.8" x14ac:dyDescent="0.25">
      <c r="A191" s="192">
        <v>36007</v>
      </c>
      <c r="B191" s="194" t="s">
        <v>394</v>
      </c>
      <c r="C191" s="222">
        <v>2.6350000000000001E-4</v>
      </c>
      <c r="D191" s="223">
        <v>5333</v>
      </c>
    </row>
    <row r="192" spans="1:4" ht="13.8" x14ac:dyDescent="0.25">
      <c r="A192" s="192">
        <v>36008</v>
      </c>
      <c r="B192" s="194" t="s">
        <v>395</v>
      </c>
      <c r="C192" s="224">
        <v>5.3109999999999995E-4</v>
      </c>
      <c r="D192" s="225">
        <v>10703</v>
      </c>
    </row>
    <row r="193" spans="1:5" ht="13.8" x14ac:dyDescent="0.25">
      <c r="A193" s="192">
        <v>36009</v>
      </c>
      <c r="B193" s="194" t="s">
        <v>396</v>
      </c>
      <c r="C193" s="222">
        <v>5.8300000000000001E-5</v>
      </c>
      <c r="D193" s="223">
        <v>1205</v>
      </c>
    </row>
    <row r="194" spans="1:5" ht="13.8" x14ac:dyDescent="0.25">
      <c r="A194" s="192">
        <v>36100</v>
      </c>
      <c r="B194" s="194" t="s">
        <v>397</v>
      </c>
      <c r="C194" s="224">
        <v>6.1700000000000004E-4</v>
      </c>
      <c r="D194" s="225">
        <v>14638</v>
      </c>
    </row>
    <row r="195" spans="1:5" ht="13.8" x14ac:dyDescent="0.25">
      <c r="A195" s="192">
        <v>36105</v>
      </c>
      <c r="B195" s="194" t="s">
        <v>88</v>
      </c>
      <c r="C195" s="222">
        <v>2.5609999999999999E-4</v>
      </c>
      <c r="D195" s="223">
        <v>6900</v>
      </c>
      <c r="E195" s="2"/>
    </row>
    <row r="196" spans="1:5" ht="13.8" x14ac:dyDescent="0.25">
      <c r="A196" s="192">
        <v>36200</v>
      </c>
      <c r="B196" s="194" t="s">
        <v>399</v>
      </c>
      <c r="C196" s="224">
        <v>1.1609000000000001E-3</v>
      </c>
      <c r="D196" s="225">
        <v>27686</v>
      </c>
    </row>
    <row r="197" spans="1:5" ht="13.8" x14ac:dyDescent="0.25">
      <c r="A197" s="238">
        <v>36205</v>
      </c>
      <c r="B197" s="239" t="s">
        <v>89</v>
      </c>
      <c r="C197" s="222">
        <v>2.7020000000000001E-4</v>
      </c>
      <c r="D197" s="223">
        <v>6211</v>
      </c>
    </row>
    <row r="198" spans="1:5" ht="13.8" x14ac:dyDescent="0.25">
      <c r="A198" s="238">
        <v>36300</v>
      </c>
      <c r="B198" s="239" t="s">
        <v>400</v>
      </c>
      <c r="C198" s="224">
        <v>4.2424999999999997E-3</v>
      </c>
      <c r="D198" s="225">
        <v>95432</v>
      </c>
    </row>
    <row r="199" spans="1:5" ht="13.8" x14ac:dyDescent="0.25">
      <c r="A199" s="238">
        <v>36301</v>
      </c>
      <c r="B199" s="239" t="s">
        <v>401</v>
      </c>
      <c r="C199" s="222">
        <v>1.109E-4</v>
      </c>
      <c r="D199" s="223">
        <v>2428</v>
      </c>
    </row>
    <row r="200" spans="1:5" ht="13.8" x14ac:dyDescent="0.25">
      <c r="A200" s="238">
        <v>36302</v>
      </c>
      <c r="B200" s="239" t="s">
        <v>402</v>
      </c>
      <c r="C200" s="224">
        <v>1.9709999999999999E-4</v>
      </c>
      <c r="D200" s="225">
        <v>3809</v>
      </c>
    </row>
    <row r="201" spans="1:5" ht="13.8" x14ac:dyDescent="0.25">
      <c r="A201" s="238">
        <v>36303</v>
      </c>
      <c r="B201" s="239" t="s">
        <v>403</v>
      </c>
      <c r="C201" s="222">
        <v>2.6469999999999998E-4</v>
      </c>
      <c r="D201" s="223">
        <v>4846</v>
      </c>
    </row>
    <row r="202" spans="1:5" ht="13.8" x14ac:dyDescent="0.25">
      <c r="A202" s="238">
        <v>36305</v>
      </c>
      <c r="B202" s="239" t="s">
        <v>90</v>
      </c>
      <c r="C202" s="224">
        <v>9.0160000000000001E-4</v>
      </c>
      <c r="D202" s="225">
        <v>21540</v>
      </c>
    </row>
    <row r="203" spans="1:5" ht="13.8" x14ac:dyDescent="0.25">
      <c r="A203" s="192">
        <v>36400</v>
      </c>
      <c r="B203" s="194" t="s">
        <v>405</v>
      </c>
      <c r="C203" s="222">
        <v>4.2171999999999999E-3</v>
      </c>
      <c r="D203" s="223">
        <v>99558</v>
      </c>
    </row>
    <row r="204" spans="1:5" ht="13.8" x14ac:dyDescent="0.25">
      <c r="A204" s="192">
        <v>36401</v>
      </c>
      <c r="B204" s="194" t="s">
        <v>551</v>
      </c>
      <c r="C204" s="224">
        <v>4.1E-5</v>
      </c>
      <c r="D204" s="225">
        <v>950</v>
      </c>
    </row>
    <row r="205" spans="1:5" ht="13.8" x14ac:dyDescent="0.25">
      <c r="A205" s="192">
        <v>36405</v>
      </c>
      <c r="B205" s="194" t="s">
        <v>406</v>
      </c>
      <c r="C205" s="222">
        <v>5.6570000000000004E-4</v>
      </c>
      <c r="D205" s="223">
        <v>14534</v>
      </c>
    </row>
    <row r="206" spans="1:5" ht="13.8" x14ac:dyDescent="0.25">
      <c r="A206" s="192">
        <v>36500</v>
      </c>
      <c r="B206" s="194" t="s">
        <v>407</v>
      </c>
      <c r="C206" s="224">
        <v>9.6813999999999997E-3</v>
      </c>
      <c r="D206" s="225">
        <v>212224</v>
      </c>
    </row>
    <row r="207" spans="1:5" ht="13.8" x14ac:dyDescent="0.25">
      <c r="A207" s="192">
        <v>36501</v>
      </c>
      <c r="B207" s="194" t="s">
        <v>408</v>
      </c>
      <c r="C207" s="222">
        <v>1.3200000000000001E-4</v>
      </c>
      <c r="D207" s="223">
        <v>2614</v>
      </c>
    </row>
    <row r="208" spans="1:5" ht="13.8" x14ac:dyDescent="0.25">
      <c r="A208" s="192">
        <v>36502</v>
      </c>
      <c r="B208" s="194" t="s">
        <v>552</v>
      </c>
      <c r="C208" s="224">
        <v>1.7900000000000001E-5</v>
      </c>
      <c r="D208" s="225">
        <v>438</v>
      </c>
    </row>
    <row r="209" spans="1:4" ht="13.8" x14ac:dyDescent="0.25">
      <c r="A209" s="238">
        <v>36505</v>
      </c>
      <c r="B209" s="239" t="s">
        <v>92</v>
      </c>
      <c r="C209" s="222">
        <v>1.8519000000000001E-3</v>
      </c>
      <c r="D209" s="223">
        <v>44141</v>
      </c>
    </row>
    <row r="210" spans="1:4" ht="13.8" x14ac:dyDescent="0.25">
      <c r="A210" s="238">
        <v>36600</v>
      </c>
      <c r="B210" s="239" t="s">
        <v>410</v>
      </c>
      <c r="C210" s="224">
        <v>4.3140000000000002E-4</v>
      </c>
      <c r="D210" s="225">
        <v>11114</v>
      </c>
    </row>
    <row r="211" spans="1:4" ht="13.8" x14ac:dyDescent="0.25">
      <c r="A211" s="238">
        <v>36700</v>
      </c>
      <c r="B211" s="239" t="s">
        <v>412</v>
      </c>
      <c r="C211" s="222">
        <v>9.0820999999999992E-3</v>
      </c>
      <c r="D211" s="223">
        <v>191363</v>
      </c>
    </row>
    <row r="212" spans="1:4" ht="13.8" x14ac:dyDescent="0.25">
      <c r="A212" s="238">
        <v>36701</v>
      </c>
      <c r="B212" s="239" t="s">
        <v>413</v>
      </c>
      <c r="C212" s="224">
        <v>3.2400000000000001E-5</v>
      </c>
      <c r="D212" s="225">
        <v>578</v>
      </c>
    </row>
    <row r="213" spans="1:4" ht="13.8" x14ac:dyDescent="0.25">
      <c r="A213" s="238">
        <v>36705</v>
      </c>
      <c r="B213" s="239" t="s">
        <v>93</v>
      </c>
      <c r="C213" s="222">
        <v>7.8680000000000004E-4</v>
      </c>
      <c r="D213" s="223">
        <v>18571</v>
      </c>
    </row>
    <row r="214" spans="1:4" ht="13.8" x14ac:dyDescent="0.25">
      <c r="A214" s="238">
        <v>36800</v>
      </c>
      <c r="B214" s="239" t="s">
        <v>414</v>
      </c>
      <c r="C214" s="224">
        <v>3.0175000000000002E-3</v>
      </c>
      <c r="D214" s="225">
        <v>65200</v>
      </c>
    </row>
    <row r="215" spans="1:4" ht="13.8" x14ac:dyDescent="0.25">
      <c r="A215" s="192">
        <v>36802</v>
      </c>
      <c r="B215" s="194" t="s">
        <v>415</v>
      </c>
      <c r="C215" s="222">
        <v>2.3570000000000001E-4</v>
      </c>
      <c r="D215" s="223">
        <v>4828</v>
      </c>
    </row>
    <row r="216" spans="1:4" ht="13.8" x14ac:dyDescent="0.25">
      <c r="A216" s="192">
        <v>36810</v>
      </c>
      <c r="B216" s="194" t="s">
        <v>416</v>
      </c>
      <c r="C216" s="224">
        <v>5.8507999999999998E-3</v>
      </c>
      <c r="D216" s="225">
        <v>128256</v>
      </c>
    </row>
    <row r="217" spans="1:4" ht="13.8" x14ac:dyDescent="0.25">
      <c r="A217" s="192">
        <v>36900</v>
      </c>
      <c r="B217" s="194" t="s">
        <v>417</v>
      </c>
      <c r="C217" s="222">
        <v>5.6179999999999999E-4</v>
      </c>
      <c r="D217" s="223">
        <v>12738</v>
      </c>
    </row>
    <row r="218" spans="1:4" ht="13.8" x14ac:dyDescent="0.25">
      <c r="A218" s="192">
        <v>36901</v>
      </c>
      <c r="B218" s="194" t="s">
        <v>418</v>
      </c>
      <c r="C218" s="224">
        <v>1.874E-4</v>
      </c>
      <c r="D218" s="225">
        <v>5166</v>
      </c>
    </row>
    <row r="219" spans="1:4" ht="13.8" x14ac:dyDescent="0.25">
      <c r="A219" s="192">
        <v>36905</v>
      </c>
      <c r="B219" s="194" t="s">
        <v>94</v>
      </c>
      <c r="C219" s="222">
        <v>1.5229999999999999E-4</v>
      </c>
      <c r="D219" s="223">
        <v>4192</v>
      </c>
    </row>
    <row r="220" spans="1:4" ht="13.8" x14ac:dyDescent="0.25">
      <c r="A220" s="192">
        <v>37000</v>
      </c>
      <c r="B220" s="194" t="s">
        <v>419</v>
      </c>
      <c r="C220" s="224">
        <v>1.6454E-3</v>
      </c>
      <c r="D220" s="225">
        <v>36810</v>
      </c>
    </row>
    <row r="221" spans="1:4" ht="13.8" x14ac:dyDescent="0.25">
      <c r="A221" s="192">
        <v>37001</v>
      </c>
      <c r="B221" s="194" t="s">
        <v>420</v>
      </c>
      <c r="C221" s="222">
        <v>1.916E-4</v>
      </c>
      <c r="D221" s="223">
        <v>4240</v>
      </c>
    </row>
    <row r="222" spans="1:4" ht="13.8" x14ac:dyDescent="0.25">
      <c r="A222" s="192">
        <v>37005</v>
      </c>
      <c r="B222" s="194" t="s">
        <v>95</v>
      </c>
      <c r="C222" s="224">
        <v>5.2099999999999998E-4</v>
      </c>
      <c r="D222" s="225">
        <v>12624</v>
      </c>
    </row>
    <row r="223" spans="1:4" ht="13.8" x14ac:dyDescent="0.25">
      <c r="A223" s="192">
        <v>37100</v>
      </c>
      <c r="B223" s="194" t="s">
        <v>421</v>
      </c>
      <c r="C223" s="222">
        <v>3.5563999999999999E-3</v>
      </c>
      <c r="D223" s="223">
        <v>75565</v>
      </c>
    </row>
    <row r="224" spans="1:4" ht="13.8" x14ac:dyDescent="0.25">
      <c r="A224" s="192">
        <v>37200</v>
      </c>
      <c r="B224" s="194" t="s">
        <v>422</v>
      </c>
      <c r="C224" s="224">
        <v>6.2489999999999996E-4</v>
      </c>
      <c r="D224" s="225">
        <v>14412</v>
      </c>
    </row>
    <row r="225" spans="1:4" ht="13.8" x14ac:dyDescent="0.25">
      <c r="A225" s="192">
        <v>37300</v>
      </c>
      <c r="B225" s="194" t="s">
        <v>423</v>
      </c>
      <c r="C225" s="222">
        <v>1.5812000000000001E-3</v>
      </c>
      <c r="D225" s="223">
        <v>34742</v>
      </c>
    </row>
    <row r="226" spans="1:4" ht="13.8" x14ac:dyDescent="0.25">
      <c r="A226" s="192">
        <v>37301</v>
      </c>
      <c r="B226" s="194" t="s">
        <v>424</v>
      </c>
      <c r="C226" s="224">
        <v>1.694E-4</v>
      </c>
      <c r="D226" s="225">
        <v>3879</v>
      </c>
    </row>
    <row r="227" spans="1:4" ht="13.8" x14ac:dyDescent="0.25">
      <c r="A227" s="238">
        <v>37305</v>
      </c>
      <c r="B227" s="239" t="s">
        <v>96</v>
      </c>
      <c r="C227" s="222">
        <v>3.6509999999999998E-4</v>
      </c>
      <c r="D227" s="223">
        <v>9580</v>
      </c>
    </row>
    <row r="228" spans="1:4" ht="13.8" x14ac:dyDescent="0.25">
      <c r="A228" s="238">
        <v>37400</v>
      </c>
      <c r="B228" s="239" t="s">
        <v>425</v>
      </c>
      <c r="C228" s="224">
        <v>8.0204000000000004E-3</v>
      </c>
      <c r="D228" s="225">
        <v>169911</v>
      </c>
    </row>
    <row r="229" spans="1:4" ht="13.8" x14ac:dyDescent="0.25">
      <c r="A229" s="238">
        <v>37405</v>
      </c>
      <c r="B229" s="239" t="s">
        <v>97</v>
      </c>
      <c r="C229" s="222">
        <v>1.3997E-3</v>
      </c>
      <c r="D229" s="223">
        <v>35113</v>
      </c>
    </row>
    <row r="230" spans="1:4" ht="13.8" x14ac:dyDescent="0.25">
      <c r="A230" s="238">
        <v>37500</v>
      </c>
      <c r="B230" s="239" t="s">
        <v>426</v>
      </c>
      <c r="C230" s="224">
        <v>8.6989999999999995E-4</v>
      </c>
      <c r="D230" s="225">
        <v>20624</v>
      </c>
    </row>
    <row r="231" spans="1:4" ht="13.8" x14ac:dyDescent="0.25">
      <c r="A231" s="238">
        <v>37600</v>
      </c>
      <c r="B231" s="239" t="s">
        <v>427</v>
      </c>
      <c r="C231" s="222">
        <v>4.8631999999999998E-3</v>
      </c>
      <c r="D231" s="223">
        <v>106114</v>
      </c>
    </row>
    <row r="232" spans="1:4" ht="13.8" x14ac:dyDescent="0.25">
      <c r="A232" s="238">
        <v>37601</v>
      </c>
      <c r="B232" s="239" t="s">
        <v>428</v>
      </c>
      <c r="C232" s="224">
        <v>5.2079999999999997E-4</v>
      </c>
      <c r="D232" s="225">
        <v>10454</v>
      </c>
    </row>
    <row r="233" spans="1:4" ht="13.8" x14ac:dyDescent="0.25">
      <c r="A233" s="192">
        <v>37605</v>
      </c>
      <c r="B233" s="194" t="s">
        <v>98</v>
      </c>
      <c r="C233" s="222">
        <v>5.7289999999999999E-4</v>
      </c>
      <c r="D233" s="223">
        <v>14310</v>
      </c>
    </row>
    <row r="234" spans="1:4" ht="13.8" x14ac:dyDescent="0.25">
      <c r="A234" s="192">
        <v>37610</v>
      </c>
      <c r="B234" s="194" t="s">
        <v>429</v>
      </c>
      <c r="C234" s="224">
        <v>1.4664000000000001E-3</v>
      </c>
      <c r="D234" s="225">
        <v>32071</v>
      </c>
    </row>
    <row r="235" spans="1:4" ht="13.8" x14ac:dyDescent="0.25">
      <c r="A235" s="192">
        <v>37700</v>
      </c>
      <c r="B235" s="194" t="s">
        <v>430</v>
      </c>
      <c r="C235" s="222">
        <v>2.2254000000000002E-3</v>
      </c>
      <c r="D235" s="223">
        <v>50602</v>
      </c>
    </row>
    <row r="236" spans="1:4" ht="13.8" x14ac:dyDescent="0.25">
      <c r="A236" s="192">
        <v>37705</v>
      </c>
      <c r="B236" s="194" t="s">
        <v>99</v>
      </c>
      <c r="C236" s="224">
        <v>6.1669999999999997E-4</v>
      </c>
      <c r="D236" s="225">
        <v>15544</v>
      </c>
    </row>
    <row r="237" spans="1:4" ht="13.8" x14ac:dyDescent="0.25">
      <c r="A237" s="192">
        <v>37800</v>
      </c>
      <c r="B237" s="194" t="s">
        <v>431</v>
      </c>
      <c r="C237" s="222">
        <v>6.7812000000000002E-3</v>
      </c>
      <c r="D237" s="223">
        <v>149768</v>
      </c>
    </row>
    <row r="238" spans="1:4" ht="13.8" x14ac:dyDescent="0.25">
      <c r="A238" s="192">
        <v>37801</v>
      </c>
      <c r="B238" s="194" t="s">
        <v>432</v>
      </c>
      <c r="C238" s="224">
        <v>5.7800000000000002E-5</v>
      </c>
      <c r="D238" s="225">
        <v>987</v>
      </c>
    </row>
    <row r="239" spans="1:4" ht="13.8" x14ac:dyDescent="0.25">
      <c r="A239" s="238">
        <v>37805</v>
      </c>
      <c r="B239" s="239" t="s">
        <v>100</v>
      </c>
      <c r="C239" s="222">
        <v>5.3649999999999998E-4</v>
      </c>
      <c r="D239" s="223">
        <v>13465</v>
      </c>
    </row>
    <row r="240" spans="1:4" ht="13.8" x14ac:dyDescent="0.25">
      <c r="A240" s="238">
        <v>37900</v>
      </c>
      <c r="B240" s="239" t="s">
        <v>433</v>
      </c>
      <c r="C240" s="224">
        <v>3.5715999999999999E-3</v>
      </c>
      <c r="D240" s="225">
        <v>83134</v>
      </c>
    </row>
    <row r="241" spans="1:4" ht="13.8" x14ac:dyDescent="0.25">
      <c r="A241" s="238">
        <v>37901</v>
      </c>
      <c r="B241" s="239" t="s">
        <v>434</v>
      </c>
      <c r="C241" s="222">
        <v>1.505E-4</v>
      </c>
      <c r="D241" s="223">
        <v>3061</v>
      </c>
    </row>
    <row r="242" spans="1:4" ht="13.8" x14ac:dyDescent="0.25">
      <c r="A242" s="238">
        <v>37905</v>
      </c>
      <c r="B242" s="239" t="s">
        <v>101</v>
      </c>
      <c r="C242" s="224">
        <v>3.7780000000000002E-4</v>
      </c>
      <c r="D242" s="225">
        <v>9601</v>
      </c>
    </row>
    <row r="243" spans="1:4" ht="13.8" x14ac:dyDescent="0.25">
      <c r="A243" s="238">
        <v>38000</v>
      </c>
      <c r="B243" s="239" t="s">
        <v>435</v>
      </c>
      <c r="C243" s="222">
        <v>5.6722999999999999E-3</v>
      </c>
      <c r="D243" s="223">
        <v>124633</v>
      </c>
    </row>
    <row r="244" spans="1:4" ht="13.8" x14ac:dyDescent="0.25">
      <c r="A244" s="238">
        <v>38005</v>
      </c>
      <c r="B244" s="239" t="s">
        <v>102</v>
      </c>
      <c r="C244" s="224">
        <v>1.2711000000000001E-3</v>
      </c>
      <c r="D244" s="225">
        <v>30052</v>
      </c>
    </row>
    <row r="245" spans="1:4" ht="13.8" x14ac:dyDescent="0.25">
      <c r="A245" s="192">
        <v>38100</v>
      </c>
      <c r="B245" s="194" t="s">
        <v>436</v>
      </c>
      <c r="C245" s="222">
        <v>2.6005999999999998E-3</v>
      </c>
      <c r="D245" s="223">
        <v>59399</v>
      </c>
    </row>
    <row r="246" spans="1:4" ht="13.8" x14ac:dyDescent="0.25">
      <c r="A246" s="192">
        <v>38105</v>
      </c>
      <c r="B246" s="194" t="s">
        <v>103</v>
      </c>
      <c r="C246" s="224">
        <v>4.7209999999999998E-4</v>
      </c>
      <c r="D246" s="225">
        <v>11918</v>
      </c>
    </row>
    <row r="247" spans="1:4" ht="13.8" x14ac:dyDescent="0.25">
      <c r="A247" s="192">
        <v>38200</v>
      </c>
      <c r="B247" s="194" t="s">
        <v>437</v>
      </c>
      <c r="C247" s="222">
        <v>2.4545999999999999E-3</v>
      </c>
      <c r="D247" s="223">
        <v>58891</v>
      </c>
    </row>
    <row r="248" spans="1:4" ht="13.8" x14ac:dyDescent="0.25">
      <c r="A248" s="192">
        <v>38205</v>
      </c>
      <c r="B248" s="194" t="s">
        <v>104</v>
      </c>
      <c r="C248" s="224">
        <v>3.8010000000000002E-4</v>
      </c>
      <c r="D248" s="225">
        <v>9188</v>
      </c>
    </row>
    <row r="249" spans="1:4" ht="13.8" x14ac:dyDescent="0.25">
      <c r="A249" s="192">
        <v>38210</v>
      </c>
      <c r="B249" s="194" t="s">
        <v>438</v>
      </c>
      <c r="C249" s="222">
        <v>9.5520000000000002E-4</v>
      </c>
      <c r="D249" s="223">
        <v>22305</v>
      </c>
    </row>
    <row r="250" spans="1:4" ht="13.8" x14ac:dyDescent="0.25">
      <c r="A250" s="192">
        <v>38300</v>
      </c>
      <c r="B250" s="194" t="s">
        <v>439</v>
      </c>
      <c r="C250" s="224">
        <v>1.934E-3</v>
      </c>
      <c r="D250" s="225">
        <v>44453</v>
      </c>
    </row>
    <row r="251" spans="1:4" ht="13.8" x14ac:dyDescent="0.25">
      <c r="A251" s="238">
        <v>38400</v>
      </c>
      <c r="B251" s="239" t="s">
        <v>440</v>
      </c>
      <c r="C251" s="222">
        <v>2.5068E-3</v>
      </c>
      <c r="D251" s="223">
        <v>58935</v>
      </c>
    </row>
    <row r="252" spans="1:4" ht="13.8" x14ac:dyDescent="0.25">
      <c r="A252" s="238">
        <v>38402</v>
      </c>
      <c r="B252" s="239" t="s">
        <v>441</v>
      </c>
      <c r="C252" s="224">
        <v>1.8000000000000001E-4</v>
      </c>
      <c r="D252" s="225">
        <v>3988</v>
      </c>
    </row>
    <row r="253" spans="1:4" ht="13.8" x14ac:dyDescent="0.25">
      <c r="A253" s="238">
        <v>38405</v>
      </c>
      <c r="B253" s="239" t="s">
        <v>105</v>
      </c>
      <c r="C253" s="222">
        <v>5.8620000000000005E-4</v>
      </c>
      <c r="D253" s="223">
        <v>13632</v>
      </c>
    </row>
    <row r="254" spans="1:4" ht="13.8" x14ac:dyDescent="0.25">
      <c r="A254" s="238">
        <v>38500</v>
      </c>
      <c r="B254" s="239" t="s">
        <v>442</v>
      </c>
      <c r="C254" s="224">
        <v>1.8577999999999999E-3</v>
      </c>
      <c r="D254" s="225">
        <v>45341</v>
      </c>
    </row>
    <row r="255" spans="1:4" ht="13.8" x14ac:dyDescent="0.25">
      <c r="A255" s="238">
        <v>38600</v>
      </c>
      <c r="B255" s="239" t="s">
        <v>443</v>
      </c>
      <c r="C255" s="222">
        <v>2.3111999999999998E-3</v>
      </c>
      <c r="D255" s="223">
        <v>55474</v>
      </c>
    </row>
    <row r="256" spans="1:4" ht="13.8" x14ac:dyDescent="0.25">
      <c r="A256" s="238">
        <v>38602</v>
      </c>
      <c r="B256" s="239" t="s">
        <v>445</v>
      </c>
      <c r="C256" s="224">
        <v>1.7259999999999999E-4</v>
      </c>
      <c r="D256" s="225">
        <v>3428</v>
      </c>
    </row>
    <row r="257" spans="1:4" ht="13.8" x14ac:dyDescent="0.25">
      <c r="A257" s="192">
        <v>38605</v>
      </c>
      <c r="B257" s="194" t="s">
        <v>106</v>
      </c>
      <c r="C257" s="222">
        <v>6.4599999999999998E-4</v>
      </c>
      <c r="D257" s="223">
        <v>14571</v>
      </c>
    </row>
    <row r="258" spans="1:4" ht="13.8" x14ac:dyDescent="0.25">
      <c r="A258" s="192">
        <v>38610</v>
      </c>
      <c r="B258" s="194" t="s">
        <v>446</v>
      </c>
      <c r="C258" s="224">
        <v>6.1390000000000001E-4</v>
      </c>
      <c r="D258" s="225">
        <v>13789</v>
      </c>
    </row>
    <row r="259" spans="1:4" ht="13.8" x14ac:dyDescent="0.25">
      <c r="A259" s="192">
        <v>38620</v>
      </c>
      <c r="B259" s="194" t="s">
        <v>447</v>
      </c>
      <c r="C259" s="222">
        <v>4.1090000000000001E-4</v>
      </c>
      <c r="D259" s="223">
        <v>9861</v>
      </c>
    </row>
    <row r="260" spans="1:4" ht="13.8" x14ac:dyDescent="0.25">
      <c r="A260" s="192">
        <v>38700</v>
      </c>
      <c r="B260" s="194" t="s">
        <v>448</v>
      </c>
      <c r="C260" s="224">
        <v>7.4980000000000001E-4</v>
      </c>
      <c r="D260" s="225">
        <v>16527</v>
      </c>
    </row>
    <row r="261" spans="1:4" ht="13.8" x14ac:dyDescent="0.25">
      <c r="A261" s="192">
        <v>38701</v>
      </c>
      <c r="B261" s="194" t="s">
        <v>449</v>
      </c>
      <c r="C261" s="222">
        <v>7.0300000000000001E-5</v>
      </c>
      <c r="D261" s="223">
        <v>1272</v>
      </c>
    </row>
    <row r="262" spans="1:4" ht="13.8" x14ac:dyDescent="0.25">
      <c r="A262" s="192">
        <v>38800</v>
      </c>
      <c r="B262" s="194" t="s">
        <v>450</v>
      </c>
      <c r="C262" s="224">
        <v>1.3174E-3</v>
      </c>
      <c r="D262" s="225">
        <v>28995</v>
      </c>
    </row>
    <row r="263" spans="1:4" ht="13.8" x14ac:dyDescent="0.25">
      <c r="A263" s="238">
        <v>38801</v>
      </c>
      <c r="B263" s="239" t="s">
        <v>451</v>
      </c>
      <c r="C263" s="222">
        <v>1.382E-4</v>
      </c>
      <c r="D263" s="223">
        <v>2587</v>
      </c>
    </row>
    <row r="264" spans="1:4" ht="13.8" x14ac:dyDescent="0.25">
      <c r="A264" s="238">
        <v>38900</v>
      </c>
      <c r="B264" s="239" t="s">
        <v>452</v>
      </c>
      <c r="C264" s="224">
        <v>2.5710000000000002E-4</v>
      </c>
      <c r="D264" s="225">
        <v>6246</v>
      </c>
    </row>
    <row r="265" spans="1:4" ht="13.8" x14ac:dyDescent="0.25">
      <c r="A265" s="238">
        <v>39000</v>
      </c>
      <c r="B265" s="239" t="s">
        <v>453</v>
      </c>
      <c r="C265" s="222">
        <v>1.26664E-2</v>
      </c>
      <c r="D265" s="223">
        <v>284040</v>
      </c>
    </row>
    <row r="266" spans="1:4" ht="13.8" x14ac:dyDescent="0.25">
      <c r="A266" s="238">
        <v>39100</v>
      </c>
      <c r="B266" s="239" t="s">
        <v>454</v>
      </c>
      <c r="C266" s="224">
        <v>1.6023999999999999E-3</v>
      </c>
      <c r="D266" s="225">
        <v>38401</v>
      </c>
    </row>
    <row r="267" spans="1:4" ht="13.8" x14ac:dyDescent="0.25">
      <c r="A267" s="238">
        <v>39101</v>
      </c>
      <c r="B267" s="239" t="s">
        <v>455</v>
      </c>
      <c r="C267" s="222">
        <v>2.354E-4</v>
      </c>
      <c r="D267" s="223">
        <v>5712</v>
      </c>
    </row>
    <row r="268" spans="1:4" ht="13.8" x14ac:dyDescent="0.25">
      <c r="A268" s="238">
        <v>39105</v>
      </c>
      <c r="B268" s="239" t="s">
        <v>107</v>
      </c>
      <c r="C268" s="224">
        <v>6.3590000000000001E-4</v>
      </c>
      <c r="D268" s="225">
        <v>15084</v>
      </c>
    </row>
    <row r="269" spans="1:4" ht="13.8" x14ac:dyDescent="0.25">
      <c r="A269" s="192">
        <v>39200</v>
      </c>
      <c r="B269" s="194" t="s">
        <v>456</v>
      </c>
      <c r="C269" s="222">
        <v>5.8519399999999999E-2</v>
      </c>
      <c r="D269" s="223">
        <v>1296810</v>
      </c>
    </row>
    <row r="270" spans="1:4" ht="13.8" x14ac:dyDescent="0.25">
      <c r="A270" s="192">
        <v>39201</v>
      </c>
      <c r="B270" s="194" t="s">
        <v>457</v>
      </c>
      <c r="C270" s="224">
        <v>2.476E-4</v>
      </c>
      <c r="D270" s="225">
        <v>4667</v>
      </c>
    </row>
    <row r="271" spans="1:4" ht="13.8" x14ac:dyDescent="0.25">
      <c r="A271" s="192">
        <v>39204</v>
      </c>
      <c r="B271" s="194" t="s">
        <v>458</v>
      </c>
      <c r="C271" s="222">
        <v>1.9589999999999999E-4</v>
      </c>
      <c r="D271" s="223">
        <v>3455</v>
      </c>
    </row>
    <row r="272" spans="1:4" ht="13.8" x14ac:dyDescent="0.25">
      <c r="A272" s="192">
        <v>39205</v>
      </c>
      <c r="B272" s="194" t="s">
        <v>108</v>
      </c>
      <c r="C272" s="224">
        <v>5.1022000000000003E-3</v>
      </c>
      <c r="D272" s="225">
        <v>120417</v>
      </c>
    </row>
    <row r="273" spans="1:7" ht="13.8" x14ac:dyDescent="0.25">
      <c r="A273" s="192">
        <v>39208</v>
      </c>
      <c r="B273" s="194" t="s">
        <v>459</v>
      </c>
      <c r="C273" s="222">
        <v>3.7070000000000001E-4</v>
      </c>
      <c r="D273" s="223">
        <v>7176</v>
      </c>
    </row>
    <row r="274" spans="1:7" ht="13.8" x14ac:dyDescent="0.25">
      <c r="A274" s="192">
        <v>39300</v>
      </c>
      <c r="B274" s="194" t="s">
        <v>462</v>
      </c>
      <c r="C274" s="224">
        <v>6.7449999999999997E-4</v>
      </c>
      <c r="D274" s="225">
        <v>16418</v>
      </c>
    </row>
    <row r="275" spans="1:7" ht="13.8" x14ac:dyDescent="0.25">
      <c r="A275" s="192">
        <v>39301</v>
      </c>
      <c r="B275" s="194" t="s">
        <v>463</v>
      </c>
      <c r="C275" s="222">
        <v>5.1199999999999998E-5</v>
      </c>
      <c r="D275" s="223">
        <v>1038</v>
      </c>
    </row>
    <row r="276" spans="1:7" ht="13.8" x14ac:dyDescent="0.25">
      <c r="A276" s="192">
        <v>39400</v>
      </c>
      <c r="B276" s="194" t="s">
        <v>464</v>
      </c>
      <c r="C276" s="224">
        <v>3.8919999999999997E-4</v>
      </c>
      <c r="D276" s="225">
        <v>9482</v>
      </c>
    </row>
    <row r="277" spans="1:7" ht="13.8" x14ac:dyDescent="0.25">
      <c r="A277" s="192">
        <v>39401</v>
      </c>
      <c r="B277" s="194" t="s">
        <v>465</v>
      </c>
      <c r="C277" s="222">
        <v>5.287E-4</v>
      </c>
      <c r="D277" s="223">
        <v>9012</v>
      </c>
    </row>
    <row r="278" spans="1:7" ht="13.8" x14ac:dyDescent="0.25">
      <c r="A278" s="192">
        <v>39500</v>
      </c>
      <c r="B278" s="194" t="s">
        <v>466</v>
      </c>
      <c r="C278" s="224">
        <v>1.9082999999999999E-3</v>
      </c>
      <c r="D278" s="225">
        <v>40168</v>
      </c>
    </row>
    <row r="279" spans="1:7" ht="13.8" x14ac:dyDescent="0.25">
      <c r="A279" s="192">
        <v>39501</v>
      </c>
      <c r="B279" s="194" t="s">
        <v>467</v>
      </c>
      <c r="C279" s="222">
        <v>4.4499999999999997E-5</v>
      </c>
      <c r="D279" s="223">
        <v>934</v>
      </c>
    </row>
    <row r="280" spans="1:7" ht="13.8" x14ac:dyDescent="0.25">
      <c r="A280" s="192">
        <v>39600</v>
      </c>
      <c r="B280" s="194" t="s">
        <v>468</v>
      </c>
      <c r="C280" s="224">
        <v>4.8764999999999998E-3</v>
      </c>
      <c r="D280" s="225">
        <v>116085</v>
      </c>
    </row>
    <row r="281" spans="1:7" ht="13.8" x14ac:dyDescent="0.25">
      <c r="A281" s="238">
        <v>39605</v>
      </c>
      <c r="B281" s="239" t="s">
        <v>109</v>
      </c>
      <c r="C281" s="222">
        <v>6.9419999999999996E-4</v>
      </c>
      <c r="D281" s="223">
        <v>16672</v>
      </c>
    </row>
    <row r="282" spans="1:7" ht="13.8" x14ac:dyDescent="0.25">
      <c r="A282" s="238">
        <v>39700</v>
      </c>
      <c r="B282" s="239" t="s">
        <v>469</v>
      </c>
      <c r="C282" s="224">
        <v>2.8557999999999999E-3</v>
      </c>
      <c r="D282" s="225">
        <v>64832</v>
      </c>
    </row>
    <row r="283" spans="1:7" ht="13.8" x14ac:dyDescent="0.25">
      <c r="A283" s="238">
        <v>39703</v>
      </c>
      <c r="B283" s="239" t="s">
        <v>470</v>
      </c>
      <c r="C283" s="222">
        <v>2.3489999999999999E-4</v>
      </c>
      <c r="D283" s="223">
        <v>4639</v>
      </c>
    </row>
    <row r="284" spans="1:7" ht="13.8" x14ac:dyDescent="0.25">
      <c r="A284" s="238">
        <v>39705</v>
      </c>
      <c r="B284" s="239" t="s">
        <v>110</v>
      </c>
      <c r="C284" s="224">
        <v>7.5969999999999998E-4</v>
      </c>
      <c r="D284" s="225">
        <v>17029</v>
      </c>
    </row>
    <row r="285" spans="1:7" ht="13.8" x14ac:dyDescent="0.25">
      <c r="A285" s="238">
        <v>39800</v>
      </c>
      <c r="B285" s="239" t="s">
        <v>471</v>
      </c>
      <c r="C285" s="222">
        <v>3.1183999999999999E-3</v>
      </c>
      <c r="D285" s="223">
        <v>73534</v>
      </c>
    </row>
    <row r="286" spans="1:7" ht="13.8" x14ac:dyDescent="0.25">
      <c r="A286" s="238">
        <v>39805</v>
      </c>
      <c r="B286" s="239" t="s">
        <v>111</v>
      </c>
      <c r="C286" s="224">
        <v>3.8840000000000001E-4</v>
      </c>
      <c r="D286" s="225">
        <v>9312</v>
      </c>
    </row>
    <row r="287" spans="1:7" ht="13.8" x14ac:dyDescent="0.25">
      <c r="A287" s="192">
        <v>39900</v>
      </c>
      <c r="B287" s="194" t="s">
        <v>472</v>
      </c>
      <c r="C287" s="222">
        <v>1.7381E-3</v>
      </c>
      <c r="D287" s="223">
        <v>41242</v>
      </c>
    </row>
    <row r="288" spans="1:7" ht="13.8" x14ac:dyDescent="0.25">
      <c r="A288" s="192">
        <v>51000</v>
      </c>
      <c r="B288" s="194" t="s">
        <v>473</v>
      </c>
      <c r="C288" s="224">
        <v>2.4907200000000001E-2</v>
      </c>
      <c r="D288" s="225">
        <v>674199</v>
      </c>
      <c r="F288">
        <f>F291-F289-F290</f>
        <v>674199</v>
      </c>
      <c r="G288" s="2" t="s">
        <v>560</v>
      </c>
    </row>
    <row r="289" spans="1:7" ht="13.8" x14ac:dyDescent="0.25">
      <c r="A289" s="192">
        <v>51000.2</v>
      </c>
      <c r="B289" s="194" t="s">
        <v>474</v>
      </c>
      <c r="C289" s="222">
        <v>4.1699999999999997E-5</v>
      </c>
      <c r="D289" s="223">
        <v>1458</v>
      </c>
      <c r="F289">
        <v>1458</v>
      </c>
      <c r="G289" s="2" t="s">
        <v>558</v>
      </c>
    </row>
    <row r="290" spans="1:7" ht="13.8" x14ac:dyDescent="0.25">
      <c r="A290" s="192">
        <v>51000.3</v>
      </c>
      <c r="B290" s="194" t="s">
        <v>475</v>
      </c>
      <c r="C290" s="224">
        <v>9.3919999999999995E-4</v>
      </c>
      <c r="D290" s="225">
        <v>21057</v>
      </c>
      <c r="F290">
        <v>21057</v>
      </c>
      <c r="G290" s="2" t="s">
        <v>559</v>
      </c>
    </row>
    <row r="291" spans="1:7" x14ac:dyDescent="0.25">
      <c r="A291" s="189"/>
      <c r="B291" s="204"/>
      <c r="C291" s="222"/>
      <c r="D291" s="223"/>
      <c r="F291">
        <v>696714</v>
      </c>
      <c r="G291" s="2" t="s">
        <v>556</v>
      </c>
    </row>
    <row r="292" spans="1:7" x14ac:dyDescent="0.25">
      <c r="A292" s="187"/>
      <c r="B292" s="207"/>
      <c r="C292" s="224"/>
      <c r="D292" s="225"/>
    </row>
    <row r="293" spans="1:7" x14ac:dyDescent="0.25">
      <c r="A293" s="226"/>
      <c r="B293" s="227"/>
      <c r="C293" s="222"/>
      <c r="D293" s="223"/>
    </row>
    <row r="294" spans="1:7" x14ac:dyDescent="0.25">
      <c r="A294" s="228"/>
      <c r="B294" s="229"/>
      <c r="C294" s="224"/>
      <c r="D294" s="225"/>
    </row>
    <row r="295" spans="1:7" x14ac:dyDescent="0.25">
      <c r="A295" s="169"/>
      <c r="B295" s="170"/>
      <c r="C295" s="171"/>
      <c r="D295" s="174"/>
    </row>
    <row r="296" spans="1:7" x14ac:dyDescent="0.25">
      <c r="C296" s="148"/>
    </row>
    <row r="297" spans="1:7" x14ac:dyDescent="0.25">
      <c r="C297" s="148"/>
    </row>
    <row r="298" spans="1:7" x14ac:dyDescent="0.25">
      <c r="C298" s="9">
        <f>SUM(C3:C297)</f>
        <v>1</v>
      </c>
      <c r="D298" s="8">
        <f>SUM(D3:D297)</f>
        <v>22776012</v>
      </c>
    </row>
    <row r="299" spans="1:7" x14ac:dyDescent="0.25">
      <c r="D299" s="8">
        <v>22776016</v>
      </c>
    </row>
    <row r="300" spans="1:7" x14ac:dyDescent="0.25">
      <c r="C300" s="9"/>
      <c r="D300" s="8">
        <f>SUM(D299-D298)</f>
        <v>4</v>
      </c>
      <c r="E300" s="2" t="s">
        <v>553</v>
      </c>
    </row>
    <row r="301" spans="1:7" x14ac:dyDescent="0.25">
      <c r="A301" s="2"/>
    </row>
    <row r="302" spans="1:7" x14ac:dyDescent="0.25">
      <c r="B302" s="2"/>
      <c r="C302" s="173"/>
      <c r="E302" s="2"/>
    </row>
    <row r="303" spans="1:7" x14ac:dyDescent="0.25">
      <c r="B303" s="2"/>
      <c r="C303" s="173"/>
      <c r="E303" s="2"/>
    </row>
    <row r="304" spans="1:7" x14ac:dyDescent="0.25">
      <c r="B304" s="2"/>
      <c r="C304" s="173"/>
      <c r="E304" s="2"/>
    </row>
    <row r="305" spans="2:5" x14ac:dyDescent="0.25">
      <c r="B305" s="2"/>
      <c r="C305" s="173"/>
      <c r="E305" s="2"/>
    </row>
    <row r="306" spans="2:5" x14ac:dyDescent="0.25">
      <c r="B306" s="2"/>
      <c r="C306" s="173"/>
      <c r="E306" s="2"/>
    </row>
    <row r="307" spans="2:5" x14ac:dyDescent="0.25">
      <c r="B307" s="2"/>
      <c r="C307" s="173"/>
      <c r="E307" s="2"/>
    </row>
    <row r="308" spans="2:5" x14ac:dyDescent="0.25">
      <c r="B308" s="2"/>
      <c r="C308" s="173"/>
      <c r="E308" s="2"/>
    </row>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O302"/>
  <sheetViews>
    <sheetView workbookViewId="0">
      <pane xSplit="2" ySplit="3" topLeftCell="C4" activePane="bottomRight" state="frozen"/>
      <selection activeCell="A4" sqref="A4"/>
      <selection pane="topRight" activeCell="A4" sqref="A4"/>
      <selection pane="bottomLeft" activeCell="A4" sqref="A4"/>
      <selection pane="bottomRight" activeCell="D50" sqref="D50"/>
    </sheetView>
  </sheetViews>
  <sheetFormatPr defaultRowHeight="13.2" x14ac:dyDescent="0.25"/>
  <cols>
    <col min="1" max="1" width="15.33203125" customWidth="1"/>
    <col min="2" max="2" width="67.33203125" customWidth="1"/>
    <col min="3" max="4" width="18.33203125" customWidth="1"/>
    <col min="5" max="5" width="20" customWidth="1"/>
    <col min="6" max="6" width="14.44140625" customWidth="1"/>
    <col min="7" max="7" width="19.44140625" customWidth="1"/>
    <col min="8" max="8" width="18.33203125" customWidth="1"/>
    <col min="9" max="9" width="20" customWidth="1"/>
    <col min="10" max="10" width="14.44140625" customWidth="1"/>
    <col min="11" max="11" width="19.44140625" customWidth="1"/>
    <col min="12" max="12" width="15" bestFit="1" customWidth="1"/>
    <col min="13" max="13" width="22.44140625" customWidth="1"/>
    <col min="14" max="14" width="15" bestFit="1" customWidth="1"/>
    <col min="15" max="15" width="10.44140625" bestFit="1" customWidth="1"/>
  </cols>
  <sheetData>
    <row r="1" spans="1:15" x14ac:dyDescent="0.25">
      <c r="A1" s="7">
        <v>1</v>
      </c>
      <c r="B1" s="7">
        <v>2</v>
      </c>
      <c r="C1" s="7">
        <v>3</v>
      </c>
      <c r="D1" s="7">
        <v>4</v>
      </c>
      <c r="E1" s="7">
        <v>5</v>
      </c>
      <c r="F1" s="7">
        <v>6</v>
      </c>
      <c r="G1" s="7">
        <v>7</v>
      </c>
      <c r="H1" s="7">
        <v>8</v>
      </c>
      <c r="I1" s="7">
        <v>9</v>
      </c>
      <c r="J1" s="7">
        <v>10</v>
      </c>
      <c r="K1" s="7">
        <v>11</v>
      </c>
      <c r="L1" s="7">
        <v>12</v>
      </c>
      <c r="M1" s="7">
        <v>13</v>
      </c>
      <c r="N1" s="7">
        <v>14</v>
      </c>
      <c r="O1" s="7">
        <v>15</v>
      </c>
    </row>
    <row r="2" spans="1:15" ht="14.4" x14ac:dyDescent="0.3">
      <c r="D2" s="127" t="s">
        <v>125</v>
      </c>
      <c r="E2" s="128"/>
      <c r="F2" s="128"/>
      <c r="G2" s="129"/>
      <c r="H2" s="208" t="s">
        <v>113</v>
      </c>
      <c r="I2" s="208"/>
      <c r="J2" s="208"/>
      <c r="K2" s="209"/>
      <c r="L2" s="127" t="s">
        <v>210</v>
      </c>
      <c r="M2" s="128"/>
      <c r="N2" s="129"/>
    </row>
    <row r="3" spans="1:15" ht="115.2" x14ac:dyDescent="0.3">
      <c r="A3" s="46" t="s">
        <v>159</v>
      </c>
      <c r="B3" s="46" t="s">
        <v>160</v>
      </c>
      <c r="C3" s="46" t="s">
        <v>476</v>
      </c>
      <c r="D3" s="46" t="s">
        <v>116</v>
      </c>
      <c r="E3" s="46" t="s">
        <v>117</v>
      </c>
      <c r="F3" s="46" t="s">
        <v>126</v>
      </c>
      <c r="G3" s="46" t="s">
        <v>115</v>
      </c>
      <c r="H3" s="46" t="s">
        <v>116</v>
      </c>
      <c r="I3" s="46" t="s">
        <v>117</v>
      </c>
      <c r="J3" s="46" t="s">
        <v>126</v>
      </c>
      <c r="K3" s="46" t="s">
        <v>115</v>
      </c>
      <c r="L3" s="46" t="s">
        <v>230</v>
      </c>
      <c r="M3" s="46" t="s">
        <v>118</v>
      </c>
      <c r="N3" s="46" t="s">
        <v>231</v>
      </c>
      <c r="O3" s="46" t="s">
        <v>568</v>
      </c>
    </row>
    <row r="4" spans="1:15" ht="13.8" x14ac:dyDescent="0.25">
      <c r="A4" s="192">
        <v>10200</v>
      </c>
      <c r="B4" s="194" t="s">
        <v>249</v>
      </c>
      <c r="C4" s="197">
        <v>-37977</v>
      </c>
      <c r="D4" s="197">
        <v>15310</v>
      </c>
      <c r="E4" s="197">
        <v>29814</v>
      </c>
      <c r="F4" s="197">
        <v>566</v>
      </c>
      <c r="G4" s="197">
        <v>1191</v>
      </c>
      <c r="H4" s="197">
        <v>43682</v>
      </c>
      <c r="J4" s="197">
        <v>17693</v>
      </c>
      <c r="K4" s="197">
        <v>5697</v>
      </c>
      <c r="L4" s="197">
        <v>20259</v>
      </c>
      <c r="M4" s="197">
        <v>-422</v>
      </c>
      <c r="N4" s="197">
        <f>SUM(L4+M4)</f>
        <v>19837</v>
      </c>
      <c r="O4" s="162">
        <f>SUM(H4:K4)</f>
        <v>67072</v>
      </c>
    </row>
    <row r="5" spans="1:15" ht="13.8" x14ac:dyDescent="0.25">
      <c r="A5" s="192">
        <v>10400</v>
      </c>
      <c r="B5" s="194" t="s">
        <v>250</v>
      </c>
      <c r="C5" s="197">
        <v>-97682</v>
      </c>
      <c r="D5" s="197">
        <v>39380</v>
      </c>
      <c r="E5" s="197">
        <v>76686</v>
      </c>
      <c r="F5" s="197">
        <v>1457</v>
      </c>
      <c r="G5" s="197">
        <v>984</v>
      </c>
      <c r="H5" s="197">
        <v>112355</v>
      </c>
      <c r="J5" s="197">
        <v>45509</v>
      </c>
      <c r="K5" s="197">
        <v>13835</v>
      </c>
      <c r="L5" s="197">
        <v>52110</v>
      </c>
      <c r="M5" s="197">
        <v>-1094</v>
      </c>
      <c r="N5" s="197">
        <f t="shared" ref="N5:N68" si="0">SUM(L5+M5)</f>
        <v>51016</v>
      </c>
      <c r="O5" s="162">
        <f t="shared" ref="O5:O68" si="1">SUM(H5:K5)</f>
        <v>171699</v>
      </c>
    </row>
    <row r="6" spans="1:15" ht="13.8" x14ac:dyDescent="0.25">
      <c r="A6" s="192">
        <v>10500</v>
      </c>
      <c r="B6" s="194" t="s">
        <v>251</v>
      </c>
      <c r="C6" s="197">
        <v>-22567</v>
      </c>
      <c r="D6" s="197">
        <v>9098</v>
      </c>
      <c r="E6" s="197">
        <v>17717</v>
      </c>
      <c r="F6" s="197">
        <v>337</v>
      </c>
      <c r="G6" s="197">
        <v>1482</v>
      </c>
      <c r="H6" s="197">
        <v>25957</v>
      </c>
      <c r="J6" s="197">
        <v>10514</v>
      </c>
      <c r="K6" s="197">
        <v>4807</v>
      </c>
      <c r="L6" s="197">
        <v>12039</v>
      </c>
      <c r="M6" s="197">
        <v>-710</v>
      </c>
      <c r="N6" s="197">
        <f t="shared" si="0"/>
        <v>11329</v>
      </c>
      <c r="O6" s="162">
        <f t="shared" si="1"/>
        <v>41278</v>
      </c>
    </row>
    <row r="7" spans="1:15" ht="13.8" x14ac:dyDescent="0.25">
      <c r="A7" s="192">
        <v>10700</v>
      </c>
      <c r="B7" s="194" t="s">
        <v>252</v>
      </c>
      <c r="C7" s="197">
        <v>-152915</v>
      </c>
      <c r="D7" s="197">
        <v>61647</v>
      </c>
      <c r="E7" s="197">
        <v>120048</v>
      </c>
      <c r="F7" s="197">
        <v>2280</v>
      </c>
      <c r="G7" s="197">
        <v>6673</v>
      </c>
      <c r="H7" s="197">
        <v>175885</v>
      </c>
      <c r="J7" s="197">
        <v>71242</v>
      </c>
      <c r="K7" s="197">
        <v>14424</v>
      </c>
      <c r="L7" s="197">
        <v>81575</v>
      </c>
      <c r="M7" s="197">
        <v>-631</v>
      </c>
      <c r="N7" s="197">
        <f t="shared" si="0"/>
        <v>80944</v>
      </c>
      <c r="O7" s="162">
        <f t="shared" si="1"/>
        <v>261551</v>
      </c>
    </row>
    <row r="8" spans="1:15" ht="13.8" x14ac:dyDescent="0.25">
      <c r="A8" s="192">
        <v>10800</v>
      </c>
      <c r="B8" s="194" t="s">
        <v>253</v>
      </c>
      <c r="C8" s="197">
        <v>-649149</v>
      </c>
      <c r="D8" s="197">
        <v>261702</v>
      </c>
      <c r="E8" s="197">
        <v>509623</v>
      </c>
      <c r="F8" s="197">
        <v>9680</v>
      </c>
      <c r="G8" s="197">
        <v>75712</v>
      </c>
      <c r="H8" s="197">
        <v>746662</v>
      </c>
      <c r="J8" s="197">
        <v>302434</v>
      </c>
      <c r="K8" s="197">
        <v>24318</v>
      </c>
      <c r="L8" s="197">
        <v>346301</v>
      </c>
      <c r="M8" s="197">
        <v>23276</v>
      </c>
      <c r="N8" s="197">
        <f t="shared" si="0"/>
        <v>369577</v>
      </c>
      <c r="O8" s="162">
        <f t="shared" si="1"/>
        <v>1073414</v>
      </c>
    </row>
    <row r="9" spans="1:15" ht="13.8" x14ac:dyDescent="0.25">
      <c r="A9" s="192">
        <v>10850</v>
      </c>
      <c r="B9" s="194" t="s">
        <v>254</v>
      </c>
      <c r="C9" s="197">
        <v>-5558</v>
      </c>
      <c r="D9" s="197">
        <v>2241</v>
      </c>
      <c r="E9" s="197">
        <v>4363</v>
      </c>
      <c r="F9" s="197">
        <v>83</v>
      </c>
      <c r="G9" s="197">
        <v>3020</v>
      </c>
      <c r="H9" s="197">
        <v>6393</v>
      </c>
      <c r="J9" s="197">
        <v>2589</v>
      </c>
      <c r="K9" s="197">
        <v>0</v>
      </c>
      <c r="L9" s="197">
        <v>2965</v>
      </c>
      <c r="M9" s="197">
        <v>1184</v>
      </c>
      <c r="N9" s="197">
        <f t="shared" si="0"/>
        <v>4149</v>
      </c>
      <c r="O9" s="162">
        <f t="shared" si="1"/>
        <v>8982</v>
      </c>
    </row>
    <row r="10" spans="1:15" ht="13.8" x14ac:dyDescent="0.25">
      <c r="A10" s="193">
        <v>10900</v>
      </c>
      <c r="B10" s="195" t="s">
        <v>255</v>
      </c>
      <c r="C10" s="198">
        <v>-53172</v>
      </c>
      <c r="D10" s="198">
        <v>21436</v>
      </c>
      <c r="E10" s="198">
        <v>41744</v>
      </c>
      <c r="F10" s="198">
        <v>793</v>
      </c>
      <c r="G10" s="198">
        <v>13178</v>
      </c>
      <c r="H10" s="198">
        <v>61159</v>
      </c>
      <c r="J10" s="198">
        <v>24773</v>
      </c>
      <c r="K10" s="198">
        <v>5126</v>
      </c>
      <c r="L10" s="198">
        <v>28366</v>
      </c>
      <c r="M10" s="198">
        <v>9690</v>
      </c>
      <c r="N10" s="197">
        <f t="shared" si="0"/>
        <v>38056</v>
      </c>
      <c r="O10" s="162">
        <f t="shared" si="1"/>
        <v>91058</v>
      </c>
    </row>
    <row r="11" spans="1:15" ht="13.8" x14ac:dyDescent="0.25">
      <c r="A11" s="193">
        <v>10910</v>
      </c>
      <c r="B11" s="196" t="s">
        <v>256</v>
      </c>
      <c r="C11" s="198">
        <v>-18564</v>
      </c>
      <c r="D11" s="198">
        <v>7484</v>
      </c>
      <c r="E11" s="198">
        <v>14574</v>
      </c>
      <c r="F11" s="198">
        <v>277</v>
      </c>
      <c r="G11" s="198">
        <v>0</v>
      </c>
      <c r="H11" s="198">
        <v>21352</v>
      </c>
      <c r="J11" s="198">
        <v>8649</v>
      </c>
      <c r="K11" s="198">
        <v>8746</v>
      </c>
      <c r="L11" s="198">
        <v>9903</v>
      </c>
      <c r="M11" s="198">
        <v>-2983</v>
      </c>
      <c r="N11" s="197">
        <f t="shared" si="0"/>
        <v>6920</v>
      </c>
      <c r="O11" s="162">
        <f t="shared" si="1"/>
        <v>38747</v>
      </c>
    </row>
    <row r="12" spans="1:15" ht="13.8" x14ac:dyDescent="0.25">
      <c r="A12" s="193">
        <v>10930</v>
      </c>
      <c r="B12" s="196" t="s">
        <v>257</v>
      </c>
      <c r="C12" s="198">
        <v>-165924</v>
      </c>
      <c r="D12" s="198">
        <v>66892</v>
      </c>
      <c r="E12" s="198">
        <v>130261</v>
      </c>
      <c r="F12" s="198">
        <v>2474</v>
      </c>
      <c r="G12" s="198">
        <v>32296</v>
      </c>
      <c r="H12" s="198">
        <v>190848</v>
      </c>
      <c r="J12" s="198">
        <v>77303</v>
      </c>
      <c r="K12" s="198">
        <v>76846</v>
      </c>
      <c r="L12" s="198">
        <v>88515</v>
      </c>
      <c r="M12" s="198">
        <v>-4245</v>
      </c>
      <c r="N12" s="197">
        <f t="shared" si="0"/>
        <v>84270</v>
      </c>
      <c r="O12" s="162">
        <f t="shared" si="1"/>
        <v>344997</v>
      </c>
    </row>
    <row r="13" spans="1:15" ht="13.8" x14ac:dyDescent="0.25">
      <c r="A13" s="193">
        <v>10940</v>
      </c>
      <c r="B13" s="195" t="s">
        <v>258</v>
      </c>
      <c r="C13" s="198">
        <v>-23305</v>
      </c>
      <c r="D13" s="198">
        <v>9395</v>
      </c>
      <c r="E13" s="198">
        <v>18296</v>
      </c>
      <c r="F13" s="198">
        <v>348</v>
      </c>
      <c r="G13" s="198">
        <v>5462</v>
      </c>
      <c r="H13" s="198">
        <v>26806</v>
      </c>
      <c r="J13" s="198">
        <v>10858</v>
      </c>
      <c r="K13" s="198">
        <v>0</v>
      </c>
      <c r="L13" s="198">
        <v>12433</v>
      </c>
      <c r="M13" s="198">
        <v>2872</v>
      </c>
      <c r="N13" s="197">
        <f t="shared" si="0"/>
        <v>15305</v>
      </c>
      <c r="O13" s="162">
        <f t="shared" si="1"/>
        <v>37664</v>
      </c>
    </row>
    <row r="14" spans="1:15" ht="13.8" x14ac:dyDescent="0.25">
      <c r="A14" s="193">
        <v>10950</v>
      </c>
      <c r="B14" s="196" t="s">
        <v>259</v>
      </c>
      <c r="C14" s="198">
        <v>-37562</v>
      </c>
      <c r="D14" s="198">
        <v>15143</v>
      </c>
      <c r="E14" s="198">
        <v>29489</v>
      </c>
      <c r="F14" s="198">
        <v>560</v>
      </c>
      <c r="G14" s="198">
        <v>1678</v>
      </c>
      <c r="H14" s="198">
        <v>43204</v>
      </c>
      <c r="J14" s="198">
        <v>17500</v>
      </c>
      <c r="K14" s="198">
        <v>7182</v>
      </c>
      <c r="L14" s="198">
        <v>20038</v>
      </c>
      <c r="M14" s="198">
        <v>-3405</v>
      </c>
      <c r="N14" s="197">
        <f t="shared" si="0"/>
        <v>16633</v>
      </c>
      <c r="O14" s="162">
        <f t="shared" si="1"/>
        <v>67886</v>
      </c>
    </row>
    <row r="15" spans="1:15" ht="13.8" x14ac:dyDescent="0.25">
      <c r="A15" s="193">
        <v>11000</v>
      </c>
      <c r="B15" s="196" t="s">
        <v>548</v>
      </c>
      <c r="C15" s="198">
        <v>0</v>
      </c>
      <c r="D15" s="198">
        <v>0</v>
      </c>
      <c r="E15" s="198">
        <v>0</v>
      </c>
      <c r="F15" s="198">
        <v>0</v>
      </c>
      <c r="G15" s="198">
        <v>5492</v>
      </c>
      <c r="H15" s="198">
        <v>0</v>
      </c>
      <c r="J15" s="198">
        <v>0</v>
      </c>
      <c r="K15" s="198">
        <v>0</v>
      </c>
      <c r="L15" s="198">
        <v>0</v>
      </c>
      <c r="M15" s="198">
        <v>2746</v>
      </c>
      <c r="N15" s="197">
        <f t="shared" si="0"/>
        <v>2746</v>
      </c>
      <c r="O15" s="162">
        <f t="shared" si="1"/>
        <v>0</v>
      </c>
    </row>
    <row r="16" spans="1:15" ht="13.8" x14ac:dyDescent="0.25">
      <c r="A16" s="192">
        <v>11050</v>
      </c>
      <c r="B16" s="194" t="s">
        <v>260</v>
      </c>
      <c r="C16" s="197">
        <v>-8307</v>
      </c>
      <c r="D16" s="197">
        <v>3349</v>
      </c>
      <c r="E16" s="197">
        <v>6522</v>
      </c>
      <c r="F16" s="197">
        <v>124</v>
      </c>
      <c r="G16" s="197">
        <v>1548</v>
      </c>
      <c r="H16" s="197">
        <v>9555</v>
      </c>
      <c r="J16" s="197">
        <v>3870</v>
      </c>
      <c r="K16" s="197">
        <v>1136</v>
      </c>
      <c r="L16" s="197">
        <v>4432</v>
      </c>
      <c r="M16" s="197">
        <v>-1815</v>
      </c>
      <c r="N16" s="197">
        <f t="shared" si="0"/>
        <v>2617</v>
      </c>
      <c r="O16" s="162">
        <f t="shared" si="1"/>
        <v>14561</v>
      </c>
    </row>
    <row r="17" spans="1:15" ht="13.8" x14ac:dyDescent="0.25">
      <c r="A17" s="192">
        <v>11300</v>
      </c>
      <c r="B17" s="194" t="s">
        <v>261</v>
      </c>
      <c r="C17" s="197">
        <v>-152816</v>
      </c>
      <c r="D17" s="197">
        <v>61607</v>
      </c>
      <c r="E17" s="197">
        <v>119970</v>
      </c>
      <c r="F17" s="197">
        <v>2279</v>
      </c>
      <c r="G17" s="197">
        <v>27975</v>
      </c>
      <c r="H17" s="197">
        <v>175772</v>
      </c>
      <c r="J17" s="197">
        <v>71196</v>
      </c>
      <c r="K17" s="197">
        <v>1309</v>
      </c>
      <c r="L17" s="197">
        <v>81523</v>
      </c>
      <c r="M17" s="197">
        <v>17643</v>
      </c>
      <c r="N17" s="197">
        <f t="shared" si="0"/>
        <v>99166</v>
      </c>
      <c r="O17" s="162">
        <f t="shared" si="1"/>
        <v>248277</v>
      </c>
    </row>
    <row r="18" spans="1:15" ht="13.8" x14ac:dyDescent="0.25">
      <c r="A18" s="192">
        <v>11310</v>
      </c>
      <c r="B18" s="194" t="s">
        <v>262</v>
      </c>
      <c r="C18" s="197">
        <v>-16657</v>
      </c>
      <c r="D18" s="197">
        <v>6715</v>
      </c>
      <c r="E18" s="197">
        <v>13077</v>
      </c>
      <c r="F18" s="197">
        <v>248</v>
      </c>
      <c r="G18" s="197">
        <v>3433</v>
      </c>
      <c r="H18" s="197">
        <v>19159</v>
      </c>
      <c r="J18" s="197">
        <v>7761</v>
      </c>
      <c r="K18" s="197">
        <v>337</v>
      </c>
      <c r="L18" s="197">
        <v>8886</v>
      </c>
      <c r="M18" s="197">
        <v>1303</v>
      </c>
      <c r="N18" s="197">
        <f t="shared" si="0"/>
        <v>10189</v>
      </c>
      <c r="O18" s="162">
        <f t="shared" si="1"/>
        <v>27257</v>
      </c>
    </row>
    <row r="19" spans="1:15" ht="13.8" x14ac:dyDescent="0.25">
      <c r="A19" s="192">
        <v>11600</v>
      </c>
      <c r="B19" s="194" t="s">
        <v>263</v>
      </c>
      <c r="C19" s="197">
        <v>-71624</v>
      </c>
      <c r="D19" s="197">
        <v>28875</v>
      </c>
      <c r="E19" s="197">
        <v>56229</v>
      </c>
      <c r="F19" s="197">
        <v>1068</v>
      </c>
      <c r="G19" s="197">
        <v>0</v>
      </c>
      <c r="H19" s="197">
        <v>82383</v>
      </c>
      <c r="J19" s="197">
        <v>33369</v>
      </c>
      <c r="K19" s="197">
        <v>18009</v>
      </c>
      <c r="L19" s="197">
        <v>38209</v>
      </c>
      <c r="M19" s="197">
        <v>-6554</v>
      </c>
      <c r="N19" s="197">
        <f t="shared" si="0"/>
        <v>31655</v>
      </c>
      <c r="O19" s="162">
        <f t="shared" si="1"/>
        <v>133761</v>
      </c>
    </row>
    <row r="20" spans="1:15" ht="13.8" x14ac:dyDescent="0.25">
      <c r="A20" s="192">
        <v>11900</v>
      </c>
      <c r="B20" s="194" t="s">
        <v>264</v>
      </c>
      <c r="C20" s="197">
        <v>-9223</v>
      </c>
      <c r="D20" s="197">
        <v>3718</v>
      </c>
      <c r="E20" s="197">
        <v>7240</v>
      </c>
      <c r="F20" s="197">
        <v>138</v>
      </c>
      <c r="G20" s="197">
        <v>877</v>
      </c>
      <c r="H20" s="197">
        <v>10608</v>
      </c>
      <c r="J20" s="197">
        <v>4297</v>
      </c>
      <c r="K20" s="197">
        <v>7671</v>
      </c>
      <c r="L20" s="197">
        <v>4920</v>
      </c>
      <c r="M20" s="197">
        <v>-1103</v>
      </c>
      <c r="N20" s="197">
        <f t="shared" si="0"/>
        <v>3817</v>
      </c>
      <c r="O20" s="162">
        <f t="shared" si="1"/>
        <v>22576</v>
      </c>
    </row>
    <row r="21" spans="1:15" ht="13.8" x14ac:dyDescent="0.25">
      <c r="A21" s="192">
        <v>12100</v>
      </c>
      <c r="B21" s="194" t="s">
        <v>265</v>
      </c>
      <c r="C21" s="197">
        <v>-9697</v>
      </c>
      <c r="D21" s="197">
        <v>3909</v>
      </c>
      <c r="E21" s="197">
        <v>7613</v>
      </c>
      <c r="F21" s="197">
        <v>145</v>
      </c>
      <c r="G21" s="197">
        <v>242</v>
      </c>
      <c r="H21" s="197">
        <v>11153</v>
      </c>
      <c r="J21" s="197">
        <v>4518</v>
      </c>
      <c r="K21" s="197">
        <v>2254</v>
      </c>
      <c r="L21" s="197">
        <v>5173</v>
      </c>
      <c r="M21" s="197">
        <v>-299</v>
      </c>
      <c r="N21" s="197">
        <f t="shared" si="0"/>
        <v>4874</v>
      </c>
      <c r="O21" s="162">
        <f t="shared" si="1"/>
        <v>17925</v>
      </c>
    </row>
    <row r="22" spans="1:15" ht="13.8" x14ac:dyDescent="0.25">
      <c r="A22" s="193">
        <v>12150</v>
      </c>
      <c r="B22" s="195" t="s">
        <v>266</v>
      </c>
      <c r="C22" s="198">
        <v>-1567</v>
      </c>
      <c r="D22" s="198">
        <v>632</v>
      </c>
      <c r="E22" s="198">
        <v>1230</v>
      </c>
      <c r="F22" s="198">
        <v>23</v>
      </c>
      <c r="G22" s="198">
        <v>301</v>
      </c>
      <c r="H22" s="198">
        <v>1803</v>
      </c>
      <c r="J22" s="198">
        <v>730</v>
      </c>
      <c r="K22" s="198">
        <v>461</v>
      </c>
      <c r="L22" s="198">
        <v>836</v>
      </c>
      <c r="M22" s="198">
        <v>-226</v>
      </c>
      <c r="N22" s="197">
        <f t="shared" si="0"/>
        <v>610</v>
      </c>
      <c r="O22" s="162">
        <f t="shared" si="1"/>
        <v>2994</v>
      </c>
    </row>
    <row r="23" spans="1:15" ht="13.8" x14ac:dyDescent="0.25">
      <c r="A23" s="193">
        <v>12160</v>
      </c>
      <c r="B23" s="196" t="s">
        <v>267</v>
      </c>
      <c r="C23" s="198">
        <v>-58658</v>
      </c>
      <c r="D23" s="198">
        <v>23648</v>
      </c>
      <c r="E23" s="198">
        <v>46050</v>
      </c>
      <c r="F23" s="198">
        <v>875</v>
      </c>
      <c r="G23" s="198">
        <v>7425</v>
      </c>
      <c r="H23" s="198">
        <v>67469</v>
      </c>
      <c r="J23" s="198">
        <v>27328</v>
      </c>
      <c r="K23" s="198">
        <v>2619</v>
      </c>
      <c r="L23" s="198">
        <v>31292</v>
      </c>
      <c r="M23" s="198">
        <v>4399</v>
      </c>
      <c r="N23" s="197">
        <f t="shared" si="0"/>
        <v>35691</v>
      </c>
      <c r="O23" s="162">
        <f t="shared" si="1"/>
        <v>97416</v>
      </c>
    </row>
    <row r="24" spans="1:15" ht="13.8" x14ac:dyDescent="0.25">
      <c r="A24" s="193">
        <v>12220</v>
      </c>
      <c r="B24" s="195" t="s">
        <v>268</v>
      </c>
      <c r="C24" s="198">
        <v>-1280291</v>
      </c>
      <c r="D24" s="198">
        <v>516145</v>
      </c>
      <c r="E24" s="198">
        <v>1005110</v>
      </c>
      <c r="F24" s="198">
        <v>19092</v>
      </c>
      <c r="G24" s="198">
        <v>379073</v>
      </c>
      <c r="H24" s="198">
        <v>1472611</v>
      </c>
      <c r="J24" s="198">
        <v>596479</v>
      </c>
      <c r="K24" s="198">
        <v>170478</v>
      </c>
      <c r="L24" s="198">
        <v>682996</v>
      </c>
      <c r="M24" s="198">
        <v>158675</v>
      </c>
      <c r="N24" s="197">
        <f t="shared" si="0"/>
        <v>841671</v>
      </c>
      <c r="O24" s="162">
        <f t="shared" si="1"/>
        <v>2239568</v>
      </c>
    </row>
    <row r="25" spans="1:15" ht="13.8" x14ac:dyDescent="0.25">
      <c r="A25" s="193">
        <v>12510</v>
      </c>
      <c r="B25" s="196" t="s">
        <v>269</v>
      </c>
      <c r="C25" s="198">
        <v>-118962</v>
      </c>
      <c r="D25" s="198">
        <v>47959</v>
      </c>
      <c r="E25" s="198">
        <v>93392</v>
      </c>
      <c r="F25" s="198">
        <v>1774</v>
      </c>
      <c r="G25" s="198">
        <v>56371</v>
      </c>
      <c r="H25" s="198">
        <v>136832</v>
      </c>
      <c r="J25" s="198">
        <v>55423</v>
      </c>
      <c r="K25" s="198">
        <v>14004</v>
      </c>
      <c r="L25" s="198">
        <v>63462</v>
      </c>
      <c r="M25" s="198">
        <v>38388</v>
      </c>
      <c r="N25" s="197">
        <f t="shared" si="0"/>
        <v>101850</v>
      </c>
      <c r="O25" s="162">
        <f t="shared" si="1"/>
        <v>206259</v>
      </c>
    </row>
    <row r="26" spans="1:15" ht="13.8" x14ac:dyDescent="0.25">
      <c r="A26" s="193">
        <v>12600</v>
      </c>
      <c r="B26" s="196" t="s">
        <v>270</v>
      </c>
      <c r="C26" s="198">
        <v>-56982</v>
      </c>
      <c r="D26" s="198">
        <v>22972</v>
      </c>
      <c r="E26" s="198">
        <v>44734</v>
      </c>
      <c r="F26" s="198">
        <v>850</v>
      </c>
      <c r="G26" s="198">
        <v>18964</v>
      </c>
      <c r="H26" s="198">
        <v>65541</v>
      </c>
      <c r="J26" s="198">
        <v>26547</v>
      </c>
      <c r="K26" s="198">
        <v>0</v>
      </c>
      <c r="L26" s="198">
        <v>30398</v>
      </c>
      <c r="M26" s="198">
        <v>2472</v>
      </c>
      <c r="N26" s="197">
        <f t="shared" si="0"/>
        <v>32870</v>
      </c>
      <c r="O26" s="162">
        <f t="shared" si="1"/>
        <v>92088</v>
      </c>
    </row>
    <row r="27" spans="1:15" ht="13.8" x14ac:dyDescent="0.25">
      <c r="A27" s="193">
        <v>12700</v>
      </c>
      <c r="B27" s="196" t="s">
        <v>271</v>
      </c>
      <c r="C27" s="198">
        <v>-29999</v>
      </c>
      <c r="D27" s="198">
        <v>12094</v>
      </c>
      <c r="E27" s="198">
        <v>23551</v>
      </c>
      <c r="F27" s="198">
        <v>447</v>
      </c>
      <c r="G27" s="198">
        <v>14770</v>
      </c>
      <c r="H27" s="198">
        <v>34505</v>
      </c>
      <c r="J27" s="198">
        <v>13976</v>
      </c>
      <c r="K27" s="198">
        <v>0</v>
      </c>
      <c r="L27" s="198">
        <v>16003</v>
      </c>
      <c r="M27" s="198">
        <v>6765</v>
      </c>
      <c r="N27" s="197">
        <f t="shared" si="0"/>
        <v>22768</v>
      </c>
      <c r="O27" s="162">
        <f t="shared" si="1"/>
        <v>48481</v>
      </c>
    </row>
    <row r="28" spans="1:15" ht="13.8" x14ac:dyDescent="0.25">
      <c r="A28" s="192">
        <v>13500</v>
      </c>
      <c r="B28" s="194" t="s">
        <v>272</v>
      </c>
      <c r="C28" s="197">
        <v>-124138</v>
      </c>
      <c r="D28" s="197">
        <v>50046</v>
      </c>
      <c r="E28" s="197">
        <v>97456</v>
      </c>
      <c r="F28" s="197">
        <v>1851</v>
      </c>
      <c r="G28" s="197">
        <v>25683</v>
      </c>
      <c r="H28" s="197">
        <v>142785</v>
      </c>
      <c r="J28" s="197">
        <v>57835</v>
      </c>
      <c r="K28" s="197">
        <v>2815</v>
      </c>
      <c r="L28" s="197">
        <v>66224</v>
      </c>
      <c r="M28" s="197">
        <v>12197</v>
      </c>
      <c r="N28" s="197">
        <f t="shared" si="0"/>
        <v>78421</v>
      </c>
      <c r="O28" s="162">
        <f t="shared" si="1"/>
        <v>203435</v>
      </c>
    </row>
    <row r="29" spans="1:15" ht="13.8" x14ac:dyDescent="0.25">
      <c r="A29" s="192">
        <v>13700</v>
      </c>
      <c r="B29" s="194" t="s">
        <v>273</v>
      </c>
      <c r="C29" s="197">
        <v>-14636</v>
      </c>
      <c r="D29" s="197">
        <v>5900</v>
      </c>
      <c r="E29" s="197">
        <v>11490</v>
      </c>
      <c r="F29" s="197">
        <v>218</v>
      </c>
      <c r="G29" s="197">
        <v>5116</v>
      </c>
      <c r="H29" s="197">
        <v>16834</v>
      </c>
      <c r="J29" s="197">
        <v>6819</v>
      </c>
      <c r="K29" s="197">
        <v>368</v>
      </c>
      <c r="L29" s="197">
        <v>7808</v>
      </c>
      <c r="M29" s="197">
        <v>2415</v>
      </c>
      <c r="N29" s="197">
        <f t="shared" si="0"/>
        <v>10223</v>
      </c>
      <c r="O29" s="162">
        <f t="shared" si="1"/>
        <v>24021</v>
      </c>
    </row>
    <row r="30" spans="1:15" ht="13.8" x14ac:dyDescent="0.25">
      <c r="A30" s="192">
        <v>14300</v>
      </c>
      <c r="B30" s="194" t="s">
        <v>274</v>
      </c>
      <c r="C30" s="197">
        <v>-47413</v>
      </c>
      <c r="D30" s="197">
        <v>19115</v>
      </c>
      <c r="E30" s="197">
        <v>37223</v>
      </c>
      <c r="F30" s="197">
        <v>707</v>
      </c>
      <c r="G30" s="197">
        <v>12923</v>
      </c>
      <c r="H30" s="197">
        <v>54536</v>
      </c>
      <c r="J30" s="197">
        <v>22090</v>
      </c>
      <c r="K30" s="197">
        <v>21404</v>
      </c>
      <c r="L30" s="197">
        <v>25294</v>
      </c>
      <c r="M30" s="197">
        <v>-1799</v>
      </c>
      <c r="N30" s="197">
        <f t="shared" si="0"/>
        <v>23495</v>
      </c>
      <c r="O30" s="162">
        <f t="shared" si="1"/>
        <v>98030</v>
      </c>
    </row>
    <row r="31" spans="1:15" ht="13.8" x14ac:dyDescent="0.25">
      <c r="A31" s="192">
        <v>14300.2</v>
      </c>
      <c r="B31" s="194" t="s">
        <v>275</v>
      </c>
      <c r="C31" s="197">
        <v>-4903</v>
      </c>
      <c r="D31" s="197">
        <v>1976</v>
      </c>
      <c r="E31" s="197">
        <v>3849</v>
      </c>
      <c r="F31" s="197">
        <v>73</v>
      </c>
      <c r="G31" s="197">
        <v>12747</v>
      </c>
      <c r="H31" s="197">
        <v>5639</v>
      </c>
      <c r="J31" s="197">
        <v>2284</v>
      </c>
      <c r="K31" s="197">
        <v>2541</v>
      </c>
      <c r="L31" s="197">
        <v>2615</v>
      </c>
      <c r="M31" s="197">
        <v>6681</v>
      </c>
      <c r="N31" s="197">
        <f t="shared" si="0"/>
        <v>9296</v>
      </c>
      <c r="O31" s="162">
        <f t="shared" si="1"/>
        <v>10464</v>
      </c>
    </row>
    <row r="32" spans="1:15" ht="13.8" x14ac:dyDescent="0.25">
      <c r="A32" s="192">
        <v>18400</v>
      </c>
      <c r="B32" s="194" t="s">
        <v>276</v>
      </c>
      <c r="C32" s="197">
        <v>-148947</v>
      </c>
      <c r="D32" s="197">
        <v>60048</v>
      </c>
      <c r="E32" s="197">
        <v>116933</v>
      </c>
      <c r="F32" s="197">
        <v>2221</v>
      </c>
      <c r="G32" s="197">
        <v>31144</v>
      </c>
      <c r="H32" s="197">
        <v>171322</v>
      </c>
      <c r="J32" s="197">
        <v>69394</v>
      </c>
      <c r="K32" s="197">
        <v>0</v>
      </c>
      <c r="L32" s="197">
        <v>79459</v>
      </c>
      <c r="M32" s="197">
        <v>15593</v>
      </c>
      <c r="N32" s="197">
        <f t="shared" si="0"/>
        <v>95052</v>
      </c>
      <c r="O32" s="162">
        <f t="shared" si="1"/>
        <v>240716</v>
      </c>
    </row>
    <row r="33" spans="1:15" ht="13.8" x14ac:dyDescent="0.25">
      <c r="A33" s="192">
        <v>18600</v>
      </c>
      <c r="B33" s="194" t="s">
        <v>277</v>
      </c>
      <c r="C33" s="197">
        <v>-408</v>
      </c>
      <c r="D33" s="197">
        <v>165</v>
      </c>
      <c r="E33" s="197">
        <v>321</v>
      </c>
      <c r="F33" s="197">
        <v>6</v>
      </c>
      <c r="G33" s="197">
        <v>212</v>
      </c>
      <c r="H33" s="197">
        <v>470</v>
      </c>
      <c r="J33" s="197">
        <v>190</v>
      </c>
      <c r="K33" s="197">
        <v>69</v>
      </c>
      <c r="L33" s="197">
        <v>218</v>
      </c>
      <c r="M33" s="197">
        <v>110</v>
      </c>
      <c r="N33" s="197">
        <f t="shared" si="0"/>
        <v>328</v>
      </c>
      <c r="O33" s="162">
        <f t="shared" si="1"/>
        <v>729</v>
      </c>
    </row>
    <row r="34" spans="1:15" ht="13.8" x14ac:dyDescent="0.25">
      <c r="A34" s="193">
        <v>18640</v>
      </c>
      <c r="B34" s="196" t="s">
        <v>278</v>
      </c>
      <c r="C34" s="198">
        <v>-53</v>
      </c>
      <c r="D34" s="198">
        <v>21</v>
      </c>
      <c r="E34" s="198">
        <v>41</v>
      </c>
      <c r="F34" s="198">
        <v>1</v>
      </c>
      <c r="G34" s="198">
        <v>23</v>
      </c>
      <c r="H34" s="198">
        <v>61</v>
      </c>
      <c r="J34" s="198">
        <v>25</v>
      </c>
      <c r="K34" s="198">
        <v>14</v>
      </c>
      <c r="L34" s="198">
        <v>28</v>
      </c>
      <c r="M34" s="198">
        <v>-6</v>
      </c>
      <c r="N34" s="197">
        <f t="shared" si="0"/>
        <v>22</v>
      </c>
      <c r="O34" s="162">
        <f t="shared" si="1"/>
        <v>100</v>
      </c>
    </row>
    <row r="35" spans="1:15" ht="13.8" x14ac:dyDescent="0.25">
      <c r="A35" s="193">
        <v>18740</v>
      </c>
      <c r="B35" s="196" t="s">
        <v>279</v>
      </c>
      <c r="C35" s="198">
        <v>-138</v>
      </c>
      <c r="D35" s="198">
        <v>56</v>
      </c>
      <c r="E35" s="198">
        <v>109</v>
      </c>
      <c r="F35" s="198">
        <v>2</v>
      </c>
      <c r="G35" s="198">
        <v>228</v>
      </c>
      <c r="H35" s="198">
        <v>159</v>
      </c>
      <c r="J35" s="198">
        <v>64</v>
      </c>
      <c r="K35" s="198">
        <v>0</v>
      </c>
      <c r="L35" s="198">
        <v>74</v>
      </c>
      <c r="M35" s="198">
        <v>101</v>
      </c>
      <c r="N35" s="197">
        <f t="shared" si="0"/>
        <v>175</v>
      </c>
      <c r="O35" s="162">
        <f t="shared" si="1"/>
        <v>223</v>
      </c>
    </row>
    <row r="36" spans="1:15" ht="13.8" x14ac:dyDescent="0.25">
      <c r="A36" s="193">
        <v>18780</v>
      </c>
      <c r="B36" s="196" t="s">
        <v>522</v>
      </c>
      <c r="C36" s="198">
        <v>-682</v>
      </c>
      <c r="D36" s="198">
        <v>275</v>
      </c>
      <c r="E36" s="198">
        <v>535</v>
      </c>
      <c r="F36" s="198">
        <v>10</v>
      </c>
      <c r="G36" s="198">
        <v>3</v>
      </c>
      <c r="H36" s="198">
        <v>784</v>
      </c>
      <c r="J36" s="198">
        <v>318</v>
      </c>
      <c r="K36" s="198">
        <v>360</v>
      </c>
      <c r="L36" s="198">
        <v>364</v>
      </c>
      <c r="M36" s="198">
        <v>-233</v>
      </c>
      <c r="N36" s="197">
        <f t="shared" si="0"/>
        <v>131</v>
      </c>
      <c r="O36" s="162">
        <f t="shared" si="1"/>
        <v>1462</v>
      </c>
    </row>
    <row r="37" spans="1:15" ht="13.8" x14ac:dyDescent="0.25">
      <c r="A37" s="193">
        <v>19005</v>
      </c>
      <c r="B37" s="195" t="s">
        <v>280</v>
      </c>
      <c r="C37" s="198">
        <v>-28639</v>
      </c>
      <c r="D37" s="198">
        <v>11546</v>
      </c>
      <c r="E37" s="198">
        <v>22483</v>
      </c>
      <c r="F37" s="198">
        <v>427</v>
      </c>
      <c r="G37" s="198">
        <v>7497</v>
      </c>
      <c r="H37" s="198">
        <v>32941</v>
      </c>
      <c r="J37" s="198">
        <v>13343</v>
      </c>
      <c r="K37" s="198">
        <v>0</v>
      </c>
      <c r="L37" s="198">
        <v>15278</v>
      </c>
      <c r="M37" s="198">
        <v>2893</v>
      </c>
      <c r="N37" s="197">
        <f t="shared" si="0"/>
        <v>18171</v>
      </c>
      <c r="O37" s="162">
        <f t="shared" si="1"/>
        <v>46284</v>
      </c>
    </row>
    <row r="38" spans="1:15" ht="13.8" x14ac:dyDescent="0.25">
      <c r="A38" s="193">
        <v>19100</v>
      </c>
      <c r="B38" s="196" t="s">
        <v>281</v>
      </c>
      <c r="C38" s="198">
        <v>-595931</v>
      </c>
      <c r="D38" s="198">
        <v>240247</v>
      </c>
      <c r="E38" s="198">
        <v>467844</v>
      </c>
      <c r="F38" s="198">
        <v>8887</v>
      </c>
      <c r="G38" s="198">
        <v>712906</v>
      </c>
      <c r="H38" s="198">
        <v>685449</v>
      </c>
      <c r="J38" s="198">
        <v>277640</v>
      </c>
      <c r="K38" s="198">
        <v>307444</v>
      </c>
      <c r="L38" s="198">
        <v>317911</v>
      </c>
      <c r="M38" s="198">
        <v>548775</v>
      </c>
      <c r="N38" s="197">
        <f t="shared" si="0"/>
        <v>866686</v>
      </c>
      <c r="O38" s="162">
        <f t="shared" si="1"/>
        <v>1270533</v>
      </c>
    </row>
    <row r="39" spans="1:15" s="211" customFormat="1" ht="13.8" x14ac:dyDescent="0.25">
      <c r="A39" s="193">
        <v>19120</v>
      </c>
      <c r="B39" s="195" t="s">
        <v>523</v>
      </c>
      <c r="C39" s="210">
        <v>-1454835</v>
      </c>
      <c r="D39" s="210">
        <v>586512</v>
      </c>
      <c r="E39" s="210">
        <v>1142138</v>
      </c>
      <c r="F39" s="210">
        <v>21695</v>
      </c>
      <c r="G39" s="210">
        <v>9923</v>
      </c>
      <c r="H39" s="210">
        <v>1673374</v>
      </c>
      <c r="J39" s="210">
        <v>677798</v>
      </c>
      <c r="K39" s="210">
        <v>544147</v>
      </c>
      <c r="L39" s="210">
        <v>776110</v>
      </c>
      <c r="M39" s="210">
        <v>-539186</v>
      </c>
      <c r="N39" s="197">
        <f t="shared" si="0"/>
        <v>236924</v>
      </c>
      <c r="O39" s="162">
        <f t="shared" si="1"/>
        <v>2895319</v>
      </c>
    </row>
    <row r="40" spans="1:15" ht="13.8" x14ac:dyDescent="0.25">
      <c r="A40" s="192">
        <v>20100</v>
      </c>
      <c r="B40" s="194" t="s">
        <v>37</v>
      </c>
      <c r="C40" s="197">
        <v>-390532</v>
      </c>
      <c r="D40" s="197">
        <v>157442</v>
      </c>
      <c r="E40" s="197">
        <v>306592</v>
      </c>
      <c r="F40" s="197">
        <v>5824</v>
      </c>
      <c r="G40" s="197">
        <v>12775</v>
      </c>
      <c r="H40" s="197">
        <v>449196</v>
      </c>
      <c r="J40" s="197">
        <v>181946</v>
      </c>
      <c r="K40" s="197">
        <v>27627</v>
      </c>
      <c r="L40" s="197">
        <v>208337</v>
      </c>
      <c r="M40" s="197">
        <v>-10657</v>
      </c>
      <c r="N40" s="197">
        <f t="shared" si="0"/>
        <v>197680</v>
      </c>
      <c r="O40" s="162">
        <f t="shared" si="1"/>
        <v>658769</v>
      </c>
    </row>
    <row r="41" spans="1:15" ht="13.8" x14ac:dyDescent="0.25">
      <c r="A41" s="192">
        <v>20200</v>
      </c>
      <c r="B41" s="194" t="s">
        <v>282</v>
      </c>
      <c r="C41" s="197">
        <v>-52873</v>
      </c>
      <c r="D41" s="197">
        <v>21315</v>
      </c>
      <c r="E41" s="197">
        <v>41508</v>
      </c>
      <c r="F41" s="197">
        <v>788</v>
      </c>
      <c r="G41" s="197">
        <v>5337</v>
      </c>
      <c r="H41" s="197">
        <v>60815</v>
      </c>
      <c r="J41" s="197">
        <v>24633</v>
      </c>
      <c r="K41" s="197">
        <v>653</v>
      </c>
      <c r="L41" s="197">
        <v>28206</v>
      </c>
      <c r="M41" s="197">
        <v>1615</v>
      </c>
      <c r="N41" s="197">
        <f t="shared" si="0"/>
        <v>29821</v>
      </c>
      <c r="O41" s="162">
        <f t="shared" si="1"/>
        <v>86101</v>
      </c>
    </row>
    <row r="42" spans="1:15" ht="13.8" x14ac:dyDescent="0.25">
      <c r="A42" s="192">
        <v>20300</v>
      </c>
      <c r="B42" s="194" t="s">
        <v>39</v>
      </c>
      <c r="C42" s="197">
        <v>-789546</v>
      </c>
      <c r="D42" s="197">
        <v>318303</v>
      </c>
      <c r="E42" s="197">
        <v>619844</v>
      </c>
      <c r="F42" s="197">
        <v>11774</v>
      </c>
      <c r="G42" s="197">
        <v>107791</v>
      </c>
      <c r="H42" s="197">
        <v>908148</v>
      </c>
      <c r="J42" s="197">
        <v>367844</v>
      </c>
      <c r="K42" s="197">
        <v>28541</v>
      </c>
      <c r="L42" s="197">
        <v>421198</v>
      </c>
      <c r="M42" s="197">
        <v>-4376</v>
      </c>
      <c r="N42" s="197">
        <f t="shared" si="0"/>
        <v>416822</v>
      </c>
      <c r="O42" s="162">
        <f t="shared" si="1"/>
        <v>1304533</v>
      </c>
    </row>
    <row r="43" spans="1:15" ht="13.8" x14ac:dyDescent="0.25">
      <c r="A43" s="192">
        <v>20400</v>
      </c>
      <c r="B43" s="194" t="s">
        <v>40</v>
      </c>
      <c r="C43" s="197">
        <v>-42053</v>
      </c>
      <c r="D43" s="197">
        <v>16954</v>
      </c>
      <c r="E43" s="197">
        <v>33014</v>
      </c>
      <c r="F43" s="197">
        <v>627</v>
      </c>
      <c r="G43" s="197">
        <v>2227</v>
      </c>
      <c r="H43" s="197">
        <v>48370</v>
      </c>
      <c r="J43" s="197">
        <v>19592</v>
      </c>
      <c r="K43" s="197">
        <v>87</v>
      </c>
      <c r="L43" s="197">
        <v>22434</v>
      </c>
      <c r="M43" s="197">
        <v>1216</v>
      </c>
      <c r="N43" s="197">
        <f t="shared" si="0"/>
        <v>23650</v>
      </c>
      <c r="O43" s="162">
        <f t="shared" si="1"/>
        <v>68049</v>
      </c>
    </row>
    <row r="44" spans="1:15" ht="13.8" x14ac:dyDescent="0.25">
      <c r="A44" s="192">
        <v>20600</v>
      </c>
      <c r="B44" s="194" t="s">
        <v>41</v>
      </c>
      <c r="C44" s="197">
        <v>-97840</v>
      </c>
      <c r="D44" s="197">
        <v>39444</v>
      </c>
      <c r="E44" s="197">
        <v>76810</v>
      </c>
      <c r="F44" s="197">
        <v>1459</v>
      </c>
      <c r="G44" s="197">
        <v>27967</v>
      </c>
      <c r="H44" s="197">
        <v>112537</v>
      </c>
      <c r="J44" s="197">
        <v>45583</v>
      </c>
      <c r="K44" s="197">
        <v>1066</v>
      </c>
      <c r="L44" s="197">
        <v>52194</v>
      </c>
      <c r="M44" s="197">
        <v>5018</v>
      </c>
      <c r="N44" s="197">
        <f t="shared" si="0"/>
        <v>57212</v>
      </c>
      <c r="O44" s="162">
        <f t="shared" si="1"/>
        <v>159186</v>
      </c>
    </row>
    <row r="45" spans="1:15" ht="13.8" x14ac:dyDescent="0.25">
      <c r="A45" s="192">
        <v>20700</v>
      </c>
      <c r="B45" s="194" t="s">
        <v>283</v>
      </c>
      <c r="C45" s="197">
        <v>-204421</v>
      </c>
      <c r="D45" s="197">
        <v>82412</v>
      </c>
      <c r="E45" s="197">
        <v>160484</v>
      </c>
      <c r="F45" s="197">
        <v>3048</v>
      </c>
      <c r="G45" s="197">
        <v>27841</v>
      </c>
      <c r="H45" s="197">
        <v>235128</v>
      </c>
      <c r="J45" s="197">
        <v>95238</v>
      </c>
      <c r="K45" s="197">
        <v>4410</v>
      </c>
      <c r="L45" s="197">
        <v>109052</v>
      </c>
      <c r="M45" s="197">
        <v>11085</v>
      </c>
      <c r="N45" s="197">
        <f t="shared" si="0"/>
        <v>120137</v>
      </c>
      <c r="O45" s="162">
        <f t="shared" si="1"/>
        <v>334776</v>
      </c>
    </row>
    <row r="46" spans="1:15" ht="13.8" x14ac:dyDescent="0.25">
      <c r="A46" s="193">
        <v>20800</v>
      </c>
      <c r="B46" s="195" t="s">
        <v>284</v>
      </c>
      <c r="C46" s="198">
        <v>-133874</v>
      </c>
      <c r="D46" s="198">
        <v>53971</v>
      </c>
      <c r="E46" s="198">
        <v>105099</v>
      </c>
      <c r="F46" s="198">
        <v>1996</v>
      </c>
      <c r="G46" s="198">
        <v>40196</v>
      </c>
      <c r="H46" s="198">
        <v>153984</v>
      </c>
      <c r="J46" s="198">
        <v>62371</v>
      </c>
      <c r="K46" s="198">
        <v>0</v>
      </c>
      <c r="L46" s="198">
        <v>71418</v>
      </c>
      <c r="M46" s="198">
        <v>19614</v>
      </c>
      <c r="N46" s="197">
        <f t="shared" si="0"/>
        <v>91032</v>
      </c>
      <c r="O46" s="162">
        <f t="shared" si="1"/>
        <v>216355</v>
      </c>
    </row>
    <row r="47" spans="1:15" ht="13.8" x14ac:dyDescent="0.25">
      <c r="A47" s="193">
        <v>20900</v>
      </c>
      <c r="B47" s="196" t="s">
        <v>44</v>
      </c>
      <c r="C47" s="198">
        <v>-301431</v>
      </c>
      <c r="D47" s="198">
        <v>121521</v>
      </c>
      <c r="E47" s="198">
        <v>236642</v>
      </c>
      <c r="F47" s="198">
        <v>4495</v>
      </c>
      <c r="G47" s="198">
        <v>26246</v>
      </c>
      <c r="H47" s="198">
        <v>346711</v>
      </c>
      <c r="J47" s="198">
        <v>140435</v>
      </c>
      <c r="K47" s="198">
        <v>18402</v>
      </c>
      <c r="L47" s="198">
        <v>160804</v>
      </c>
      <c r="M47" s="198">
        <v>6539</v>
      </c>
      <c r="N47" s="197">
        <f t="shared" si="0"/>
        <v>167343</v>
      </c>
      <c r="O47" s="162">
        <f t="shared" si="1"/>
        <v>505548</v>
      </c>
    </row>
    <row r="48" spans="1:15" ht="13.8" x14ac:dyDescent="0.25">
      <c r="A48" s="193">
        <v>21200</v>
      </c>
      <c r="B48" s="196" t="s">
        <v>285</v>
      </c>
      <c r="C48" s="198">
        <v>-100072</v>
      </c>
      <c r="D48" s="198">
        <v>40344</v>
      </c>
      <c r="E48" s="198">
        <v>78563</v>
      </c>
      <c r="F48" s="198">
        <v>1492</v>
      </c>
      <c r="G48" s="198">
        <v>9476</v>
      </c>
      <c r="H48" s="198">
        <v>115104</v>
      </c>
      <c r="J48" s="198">
        <v>46623</v>
      </c>
      <c r="K48" s="198">
        <v>6263</v>
      </c>
      <c r="L48" s="198">
        <v>53385</v>
      </c>
      <c r="M48" s="198">
        <v>128</v>
      </c>
      <c r="N48" s="197">
        <f t="shared" si="0"/>
        <v>53513</v>
      </c>
      <c r="O48" s="162">
        <f t="shared" si="1"/>
        <v>167990</v>
      </c>
    </row>
    <row r="49" spans="1:15" ht="13.8" x14ac:dyDescent="0.25">
      <c r="A49" s="193">
        <v>21300</v>
      </c>
      <c r="B49" s="195" t="s">
        <v>286</v>
      </c>
      <c r="C49" s="198">
        <v>-1343713</v>
      </c>
      <c r="D49" s="198">
        <v>541713</v>
      </c>
      <c r="E49" s="198">
        <v>1054900</v>
      </c>
      <c r="F49" s="198">
        <v>20038</v>
      </c>
      <c r="G49" s="198">
        <v>109785</v>
      </c>
      <c r="H49" s="198">
        <v>1545560</v>
      </c>
      <c r="J49" s="198">
        <v>626027</v>
      </c>
      <c r="K49" s="198">
        <v>96338</v>
      </c>
      <c r="L49" s="198">
        <v>716829</v>
      </c>
      <c r="M49" s="198">
        <v>-32325</v>
      </c>
      <c r="N49" s="197">
        <f t="shared" si="0"/>
        <v>684504</v>
      </c>
      <c r="O49" s="162">
        <f t="shared" si="1"/>
        <v>2267925</v>
      </c>
    </row>
    <row r="50" spans="1:15" ht="13.8" x14ac:dyDescent="0.25">
      <c r="A50" s="193">
        <v>21520</v>
      </c>
      <c r="B50" s="195" t="s">
        <v>287</v>
      </c>
      <c r="C50" s="198">
        <v>-2598342</v>
      </c>
      <c r="D50" s="198">
        <v>1047512</v>
      </c>
      <c r="E50" s="198">
        <v>2039863</v>
      </c>
      <c r="F50" s="198">
        <v>38747</v>
      </c>
      <c r="G50" s="198">
        <v>0</v>
      </c>
      <c r="H50" s="198">
        <v>2988654</v>
      </c>
      <c r="J50" s="198">
        <v>1210550</v>
      </c>
      <c r="K50" s="198">
        <v>308450</v>
      </c>
      <c r="L50" s="198">
        <v>1386135</v>
      </c>
      <c r="M50" s="198">
        <v>-155516</v>
      </c>
      <c r="N50" s="197">
        <f t="shared" si="0"/>
        <v>1230619</v>
      </c>
      <c r="O50" s="162">
        <f t="shared" si="1"/>
        <v>4507654</v>
      </c>
    </row>
    <row r="51" spans="1:15" ht="13.8" x14ac:dyDescent="0.25">
      <c r="A51" s="193">
        <v>21525</v>
      </c>
      <c r="B51" s="195" t="s">
        <v>288</v>
      </c>
      <c r="C51" s="198">
        <v>-70340</v>
      </c>
      <c r="D51" s="198">
        <v>28357</v>
      </c>
      <c r="E51" s="198">
        <v>55221</v>
      </c>
      <c r="F51" s="198">
        <v>1049</v>
      </c>
      <c r="G51" s="198">
        <v>6532</v>
      </c>
      <c r="H51" s="198">
        <v>80906</v>
      </c>
      <c r="J51" s="198">
        <v>32771</v>
      </c>
      <c r="K51" s="198">
        <v>23411</v>
      </c>
      <c r="L51" s="198">
        <v>37524</v>
      </c>
      <c r="M51" s="198">
        <v>-2661</v>
      </c>
      <c r="N51" s="197">
        <f t="shared" si="0"/>
        <v>34863</v>
      </c>
      <c r="O51" s="162">
        <f t="shared" si="1"/>
        <v>137088</v>
      </c>
    </row>
    <row r="52" spans="1:15" ht="13.8" x14ac:dyDescent="0.25">
      <c r="A52" s="192">
        <v>21525.200000000001</v>
      </c>
      <c r="B52" s="194" t="s">
        <v>289</v>
      </c>
      <c r="C52" s="197">
        <v>-1903</v>
      </c>
      <c r="D52" s="197">
        <v>767</v>
      </c>
      <c r="E52" s="197">
        <v>1494</v>
      </c>
      <c r="F52" s="197">
        <v>28</v>
      </c>
      <c r="G52" s="197">
        <v>7960</v>
      </c>
      <c r="H52" s="197">
        <v>2189</v>
      </c>
      <c r="J52" s="197">
        <v>887</v>
      </c>
      <c r="K52" s="197">
        <v>2088</v>
      </c>
      <c r="L52" s="197">
        <v>1015</v>
      </c>
      <c r="M52" s="197">
        <v>3041</v>
      </c>
      <c r="N52" s="197">
        <f t="shared" si="0"/>
        <v>4056</v>
      </c>
      <c r="O52" s="162">
        <f t="shared" si="1"/>
        <v>5164</v>
      </c>
    </row>
    <row r="53" spans="1:15" ht="13.8" x14ac:dyDescent="0.25">
      <c r="A53" s="192">
        <v>21550</v>
      </c>
      <c r="B53" s="194" t="s">
        <v>48</v>
      </c>
      <c r="C53" s="197">
        <v>-1487738</v>
      </c>
      <c r="D53" s="197">
        <v>599776</v>
      </c>
      <c r="E53" s="197">
        <v>1167969</v>
      </c>
      <c r="F53" s="197">
        <v>22185</v>
      </c>
      <c r="G53" s="197">
        <v>0</v>
      </c>
      <c r="H53" s="197">
        <v>1711220</v>
      </c>
      <c r="J53" s="197">
        <v>693127</v>
      </c>
      <c r="K53" s="197">
        <v>371567</v>
      </c>
      <c r="L53" s="197">
        <v>793662</v>
      </c>
      <c r="M53" s="197">
        <v>-133175</v>
      </c>
      <c r="N53" s="197">
        <f t="shared" si="0"/>
        <v>660487</v>
      </c>
      <c r="O53" s="162">
        <f t="shared" si="1"/>
        <v>2775914</v>
      </c>
    </row>
    <row r="54" spans="1:15" ht="13.8" x14ac:dyDescent="0.25">
      <c r="A54" s="192">
        <v>21570</v>
      </c>
      <c r="B54" s="194" t="s">
        <v>290</v>
      </c>
      <c r="C54" s="197">
        <v>-7774</v>
      </c>
      <c r="D54" s="197">
        <v>3134</v>
      </c>
      <c r="E54" s="197">
        <v>6103</v>
      </c>
      <c r="F54" s="197">
        <v>116</v>
      </c>
      <c r="G54" s="197">
        <v>46</v>
      </c>
      <c r="H54" s="197">
        <v>8942</v>
      </c>
      <c r="J54" s="197">
        <v>3622</v>
      </c>
      <c r="K54" s="197">
        <v>1385</v>
      </c>
      <c r="L54" s="197">
        <v>4147</v>
      </c>
      <c r="M54" s="197">
        <v>-428</v>
      </c>
      <c r="N54" s="197">
        <f t="shared" si="0"/>
        <v>3719</v>
      </c>
      <c r="O54" s="162">
        <f t="shared" si="1"/>
        <v>13949</v>
      </c>
    </row>
    <row r="55" spans="1:15" ht="13.8" x14ac:dyDescent="0.25">
      <c r="A55" s="192">
        <v>21800</v>
      </c>
      <c r="B55" s="194" t="s">
        <v>49</v>
      </c>
      <c r="C55" s="197">
        <v>-197823</v>
      </c>
      <c r="D55" s="197">
        <v>79752</v>
      </c>
      <c r="E55" s="197">
        <v>155303</v>
      </c>
      <c r="F55" s="197">
        <v>2950</v>
      </c>
      <c r="G55" s="197">
        <v>3674</v>
      </c>
      <c r="H55" s="197">
        <v>227539</v>
      </c>
      <c r="J55" s="197">
        <v>92164</v>
      </c>
      <c r="K55" s="197">
        <v>15538</v>
      </c>
      <c r="L55" s="197">
        <v>105532</v>
      </c>
      <c r="M55" s="197">
        <v>-7105</v>
      </c>
      <c r="N55" s="197">
        <f t="shared" si="0"/>
        <v>98427</v>
      </c>
      <c r="O55" s="162">
        <f t="shared" si="1"/>
        <v>335241</v>
      </c>
    </row>
    <row r="56" spans="1:15" ht="13.8" x14ac:dyDescent="0.25">
      <c r="A56" s="192">
        <v>21900</v>
      </c>
      <c r="B56" s="194" t="s">
        <v>50</v>
      </c>
      <c r="C56" s="197">
        <v>-80369</v>
      </c>
      <c r="D56" s="197">
        <v>32401</v>
      </c>
      <c r="E56" s="197">
        <v>63095</v>
      </c>
      <c r="F56" s="197">
        <v>1198</v>
      </c>
      <c r="G56" s="197">
        <v>46101</v>
      </c>
      <c r="H56" s="197">
        <v>92442</v>
      </c>
      <c r="J56" s="197">
        <v>37443</v>
      </c>
      <c r="K56" s="197">
        <v>0</v>
      </c>
      <c r="L56" s="197">
        <v>42874</v>
      </c>
      <c r="M56" s="197">
        <v>16416</v>
      </c>
      <c r="N56" s="197">
        <f t="shared" si="0"/>
        <v>59290</v>
      </c>
      <c r="O56" s="162">
        <f t="shared" si="1"/>
        <v>129885</v>
      </c>
    </row>
    <row r="57" spans="1:15" ht="13.8" x14ac:dyDescent="0.25">
      <c r="A57" s="192">
        <v>22000</v>
      </c>
      <c r="B57" s="194" t="s">
        <v>291</v>
      </c>
      <c r="C57" s="197">
        <v>-106924</v>
      </c>
      <c r="D57" s="197">
        <v>43106</v>
      </c>
      <c r="E57" s="197">
        <v>83942</v>
      </c>
      <c r="F57" s="197">
        <v>1594</v>
      </c>
      <c r="G57" s="197">
        <v>31289</v>
      </c>
      <c r="H57" s="197">
        <v>122986</v>
      </c>
      <c r="J57" s="197">
        <v>49815</v>
      </c>
      <c r="K57" s="197">
        <v>1452</v>
      </c>
      <c r="L57" s="197">
        <v>57041</v>
      </c>
      <c r="M57" s="197">
        <v>17608</v>
      </c>
      <c r="N57" s="197">
        <f t="shared" si="0"/>
        <v>74649</v>
      </c>
      <c r="O57" s="162">
        <f t="shared" si="1"/>
        <v>174253</v>
      </c>
    </row>
    <row r="58" spans="1:15" ht="13.8" x14ac:dyDescent="0.25">
      <c r="A58" s="193">
        <v>23000</v>
      </c>
      <c r="B58" s="195" t="s">
        <v>51</v>
      </c>
      <c r="C58" s="198">
        <v>-81999</v>
      </c>
      <c r="D58" s="198">
        <v>33058</v>
      </c>
      <c r="E58" s="198">
        <v>64374</v>
      </c>
      <c r="F58" s="198">
        <v>1223</v>
      </c>
      <c r="G58" s="198">
        <v>12110</v>
      </c>
      <c r="H58" s="198">
        <v>94316</v>
      </c>
      <c r="J58" s="198">
        <v>38203</v>
      </c>
      <c r="K58" s="198">
        <v>4144</v>
      </c>
      <c r="L58" s="198">
        <v>43744</v>
      </c>
      <c r="M58" s="198">
        <v>838</v>
      </c>
      <c r="N58" s="197">
        <f t="shared" si="0"/>
        <v>44582</v>
      </c>
      <c r="O58" s="162">
        <f t="shared" si="1"/>
        <v>136663</v>
      </c>
    </row>
    <row r="59" spans="1:15" ht="13.8" x14ac:dyDescent="0.25">
      <c r="A59" s="193">
        <v>23100</v>
      </c>
      <c r="B59" s="195" t="s">
        <v>52</v>
      </c>
      <c r="C59" s="198">
        <v>-535650</v>
      </c>
      <c r="D59" s="198">
        <v>215945</v>
      </c>
      <c r="E59" s="198">
        <v>420519</v>
      </c>
      <c r="F59" s="198">
        <v>7988</v>
      </c>
      <c r="G59" s="198">
        <v>39371</v>
      </c>
      <c r="H59" s="198">
        <v>616113</v>
      </c>
      <c r="J59" s="198">
        <v>249556</v>
      </c>
      <c r="K59" s="198">
        <v>64160</v>
      </c>
      <c r="L59" s="198">
        <v>285753</v>
      </c>
      <c r="M59" s="198">
        <v>-22689</v>
      </c>
      <c r="N59" s="197">
        <f t="shared" si="0"/>
        <v>263064</v>
      </c>
      <c r="O59" s="162">
        <f t="shared" si="1"/>
        <v>929829</v>
      </c>
    </row>
    <row r="60" spans="1:15" ht="13.8" x14ac:dyDescent="0.25">
      <c r="A60" s="193">
        <v>23200</v>
      </c>
      <c r="B60" s="195" t="s">
        <v>53</v>
      </c>
      <c r="C60" s="198">
        <v>-309439</v>
      </c>
      <c r="D60" s="198">
        <v>124749</v>
      </c>
      <c r="E60" s="198">
        <v>242929</v>
      </c>
      <c r="F60" s="198">
        <v>4614</v>
      </c>
      <c r="G60" s="198">
        <v>0</v>
      </c>
      <c r="H60" s="198">
        <v>355921</v>
      </c>
      <c r="J60" s="198">
        <v>144165</v>
      </c>
      <c r="K60" s="198">
        <v>56209</v>
      </c>
      <c r="L60" s="198">
        <v>165076</v>
      </c>
      <c r="M60" s="198">
        <v>-22799</v>
      </c>
      <c r="N60" s="197">
        <f t="shared" si="0"/>
        <v>142277</v>
      </c>
      <c r="O60" s="162">
        <f t="shared" si="1"/>
        <v>556295</v>
      </c>
    </row>
    <row r="61" spans="1:15" ht="13.8" x14ac:dyDescent="0.25">
      <c r="A61" s="193">
        <v>30000</v>
      </c>
      <c r="B61" s="195" t="s">
        <v>292</v>
      </c>
      <c r="C61" s="198">
        <v>-23552</v>
      </c>
      <c r="D61" s="198">
        <v>9495</v>
      </c>
      <c r="E61" s="198">
        <v>18490</v>
      </c>
      <c r="F61" s="198">
        <v>351</v>
      </c>
      <c r="G61" s="198">
        <v>5627</v>
      </c>
      <c r="H61" s="198">
        <v>27090</v>
      </c>
      <c r="J61" s="198">
        <v>10973</v>
      </c>
      <c r="K61" s="198">
        <v>0</v>
      </c>
      <c r="L61" s="198">
        <v>12564</v>
      </c>
      <c r="M61" s="198">
        <v>2396</v>
      </c>
      <c r="N61" s="197">
        <f t="shared" si="0"/>
        <v>14960</v>
      </c>
      <c r="O61" s="162">
        <f t="shared" si="1"/>
        <v>38063</v>
      </c>
    </row>
    <row r="62" spans="1:15" ht="13.8" x14ac:dyDescent="0.25">
      <c r="A62" s="193">
        <v>30100</v>
      </c>
      <c r="B62" s="195" t="s">
        <v>293</v>
      </c>
      <c r="C62" s="198">
        <v>-232085</v>
      </c>
      <c r="D62" s="198">
        <v>93564</v>
      </c>
      <c r="E62" s="198">
        <v>182202</v>
      </c>
      <c r="F62" s="198">
        <v>3461</v>
      </c>
      <c r="G62" s="198">
        <v>1766</v>
      </c>
      <c r="H62" s="198">
        <v>266948</v>
      </c>
      <c r="J62" s="198">
        <v>108127</v>
      </c>
      <c r="K62" s="198">
        <v>17852</v>
      </c>
      <c r="L62" s="198">
        <v>123810</v>
      </c>
      <c r="M62" s="198">
        <v>-5015</v>
      </c>
      <c r="N62" s="197">
        <f t="shared" si="0"/>
        <v>118795</v>
      </c>
      <c r="O62" s="162">
        <f t="shared" si="1"/>
        <v>392927</v>
      </c>
    </row>
    <row r="63" spans="1:15" ht="13.8" x14ac:dyDescent="0.25">
      <c r="A63" s="193">
        <v>30102</v>
      </c>
      <c r="B63" s="195" t="s">
        <v>294</v>
      </c>
      <c r="C63" s="198">
        <v>-7520</v>
      </c>
      <c r="D63" s="198">
        <v>3032</v>
      </c>
      <c r="E63" s="198">
        <v>5904</v>
      </c>
      <c r="F63" s="198">
        <v>112</v>
      </c>
      <c r="G63" s="198">
        <v>33</v>
      </c>
      <c r="H63" s="198">
        <v>8650</v>
      </c>
      <c r="J63" s="198">
        <v>3504</v>
      </c>
      <c r="K63" s="198">
        <v>2599</v>
      </c>
      <c r="L63" s="198">
        <v>4012</v>
      </c>
      <c r="M63" s="198">
        <v>-1401</v>
      </c>
      <c r="N63" s="197">
        <f t="shared" si="0"/>
        <v>2611</v>
      </c>
      <c r="O63" s="162">
        <f t="shared" si="1"/>
        <v>14753</v>
      </c>
    </row>
    <row r="64" spans="1:15" ht="13.8" x14ac:dyDescent="0.25">
      <c r="A64" s="192">
        <v>30103</v>
      </c>
      <c r="B64" s="194" t="s">
        <v>295</v>
      </c>
      <c r="C64" s="197">
        <v>-6789</v>
      </c>
      <c r="D64" s="197">
        <v>2737</v>
      </c>
      <c r="E64" s="197">
        <v>5330</v>
      </c>
      <c r="F64" s="197">
        <v>101</v>
      </c>
      <c r="G64" s="197">
        <v>181</v>
      </c>
      <c r="H64" s="197">
        <v>7809</v>
      </c>
      <c r="J64" s="197">
        <v>3163</v>
      </c>
      <c r="K64" s="197">
        <v>1500</v>
      </c>
      <c r="L64" s="197">
        <v>3622</v>
      </c>
      <c r="M64" s="197">
        <v>-786</v>
      </c>
      <c r="N64" s="197">
        <f t="shared" si="0"/>
        <v>2836</v>
      </c>
      <c r="O64" s="162">
        <f t="shared" si="1"/>
        <v>12472</v>
      </c>
    </row>
    <row r="65" spans="1:15" ht="13.8" x14ac:dyDescent="0.25">
      <c r="A65" s="192">
        <v>30104</v>
      </c>
      <c r="B65" s="194" t="s">
        <v>296</v>
      </c>
      <c r="C65" s="197">
        <v>-5581</v>
      </c>
      <c r="D65" s="197">
        <v>2250</v>
      </c>
      <c r="E65" s="197">
        <v>4381</v>
      </c>
      <c r="F65" s="197">
        <v>83</v>
      </c>
      <c r="G65" s="197">
        <v>418</v>
      </c>
      <c r="H65" s="197">
        <v>6419</v>
      </c>
      <c r="J65" s="197">
        <v>2600</v>
      </c>
      <c r="K65" s="197">
        <v>3041</v>
      </c>
      <c r="L65" s="197">
        <v>2977</v>
      </c>
      <c r="M65" s="197">
        <v>-1124</v>
      </c>
      <c r="N65" s="197">
        <f t="shared" si="0"/>
        <v>1853</v>
      </c>
      <c r="O65" s="162">
        <f t="shared" si="1"/>
        <v>12060</v>
      </c>
    </row>
    <row r="66" spans="1:15" ht="13.8" x14ac:dyDescent="0.25">
      <c r="A66" s="192">
        <v>30105</v>
      </c>
      <c r="B66" s="194" t="s">
        <v>54</v>
      </c>
      <c r="C66" s="197">
        <v>-23341</v>
      </c>
      <c r="D66" s="197">
        <v>9410</v>
      </c>
      <c r="E66" s="197">
        <v>18324</v>
      </c>
      <c r="F66" s="197">
        <v>348</v>
      </c>
      <c r="G66" s="197">
        <v>7580</v>
      </c>
      <c r="H66" s="197">
        <v>26847</v>
      </c>
      <c r="J66" s="197">
        <v>10875</v>
      </c>
      <c r="K66" s="197">
        <v>0</v>
      </c>
      <c r="L66" s="197">
        <v>12452</v>
      </c>
      <c r="M66" s="197">
        <v>2685</v>
      </c>
      <c r="N66" s="197">
        <f t="shared" si="0"/>
        <v>15137</v>
      </c>
      <c r="O66" s="162">
        <f t="shared" si="1"/>
        <v>37722</v>
      </c>
    </row>
    <row r="67" spans="1:15" ht="13.8" x14ac:dyDescent="0.25">
      <c r="A67" s="192">
        <v>30200</v>
      </c>
      <c r="B67" s="194" t="s">
        <v>297</v>
      </c>
      <c r="C67" s="197">
        <v>-53327</v>
      </c>
      <c r="D67" s="197">
        <v>21499</v>
      </c>
      <c r="E67" s="197">
        <v>41865</v>
      </c>
      <c r="F67" s="197">
        <v>795</v>
      </c>
      <c r="G67" s="197">
        <v>4586</v>
      </c>
      <c r="H67" s="197">
        <v>61337</v>
      </c>
      <c r="J67" s="197">
        <v>24845</v>
      </c>
      <c r="K67" s="197">
        <v>1126</v>
      </c>
      <c r="L67" s="197">
        <v>28448</v>
      </c>
      <c r="M67" s="197">
        <v>1269</v>
      </c>
      <c r="N67" s="197">
        <f t="shared" si="0"/>
        <v>29717</v>
      </c>
      <c r="O67" s="162">
        <f t="shared" si="1"/>
        <v>87308</v>
      </c>
    </row>
    <row r="68" spans="1:15" ht="13.8" x14ac:dyDescent="0.25">
      <c r="A68" s="192">
        <v>30300</v>
      </c>
      <c r="B68" s="194" t="s">
        <v>298</v>
      </c>
      <c r="C68" s="197">
        <v>-17813</v>
      </c>
      <c r="D68" s="197">
        <v>7181</v>
      </c>
      <c r="E68" s="197">
        <v>13984</v>
      </c>
      <c r="F68" s="197">
        <v>266</v>
      </c>
      <c r="G68" s="197">
        <v>2003</v>
      </c>
      <c r="H68" s="197">
        <v>20489</v>
      </c>
      <c r="J68" s="197">
        <v>8299</v>
      </c>
      <c r="K68" s="197">
        <v>903</v>
      </c>
      <c r="L68" s="197">
        <v>9503</v>
      </c>
      <c r="M68" s="197">
        <v>-158</v>
      </c>
      <c r="N68" s="197">
        <f t="shared" si="0"/>
        <v>9345</v>
      </c>
      <c r="O68" s="162">
        <f t="shared" si="1"/>
        <v>29691</v>
      </c>
    </row>
    <row r="69" spans="1:15" ht="13.8" x14ac:dyDescent="0.25">
      <c r="A69" s="192">
        <v>30400</v>
      </c>
      <c r="B69" s="194" t="s">
        <v>299</v>
      </c>
      <c r="C69" s="197">
        <v>-36986</v>
      </c>
      <c r="D69" s="197">
        <v>14911</v>
      </c>
      <c r="E69" s="197">
        <v>29036</v>
      </c>
      <c r="F69" s="197">
        <v>552</v>
      </c>
      <c r="G69" s="197">
        <v>1877</v>
      </c>
      <c r="H69" s="197">
        <v>42542</v>
      </c>
      <c r="J69" s="197">
        <v>17231</v>
      </c>
      <c r="K69" s="197">
        <v>1292</v>
      </c>
      <c r="L69" s="197">
        <v>19731</v>
      </c>
      <c r="M69" s="197">
        <v>288</v>
      </c>
      <c r="N69" s="197">
        <f t="shared" ref="N69:N132" si="2">SUM(L69+M69)</f>
        <v>20019</v>
      </c>
      <c r="O69" s="162">
        <f t="shared" ref="O69:O132" si="3">SUM(H69:K69)</f>
        <v>61065</v>
      </c>
    </row>
    <row r="70" spans="1:15" ht="13.8" x14ac:dyDescent="0.25">
      <c r="A70" s="193">
        <v>30405</v>
      </c>
      <c r="B70" s="195" t="s">
        <v>55</v>
      </c>
      <c r="C70" s="198">
        <v>-21649</v>
      </c>
      <c r="D70" s="198">
        <v>8728</v>
      </c>
      <c r="E70" s="198">
        <v>16996</v>
      </c>
      <c r="F70" s="198">
        <v>323</v>
      </c>
      <c r="G70" s="198">
        <v>3700</v>
      </c>
      <c r="H70" s="198">
        <v>24901</v>
      </c>
      <c r="J70" s="198">
        <v>10086</v>
      </c>
      <c r="K70" s="198">
        <v>1953</v>
      </c>
      <c r="L70" s="198">
        <v>11549</v>
      </c>
      <c r="M70" s="198">
        <v>1717</v>
      </c>
      <c r="N70" s="197">
        <f t="shared" si="2"/>
        <v>13266</v>
      </c>
      <c r="O70" s="162">
        <f t="shared" si="3"/>
        <v>36940</v>
      </c>
    </row>
    <row r="71" spans="1:15" ht="13.8" x14ac:dyDescent="0.25">
      <c r="A71" s="193">
        <v>30500</v>
      </c>
      <c r="B71" s="195" t="s">
        <v>300</v>
      </c>
      <c r="C71" s="198">
        <v>-33901</v>
      </c>
      <c r="D71" s="198">
        <v>13667</v>
      </c>
      <c r="E71" s="198">
        <v>26614</v>
      </c>
      <c r="F71" s="198">
        <v>506</v>
      </c>
      <c r="G71" s="198">
        <v>6312</v>
      </c>
      <c r="H71" s="198">
        <v>38993</v>
      </c>
      <c r="J71" s="198">
        <v>15794</v>
      </c>
      <c r="K71" s="198">
        <v>306</v>
      </c>
      <c r="L71" s="198">
        <v>18085</v>
      </c>
      <c r="M71" s="198">
        <v>1640</v>
      </c>
      <c r="N71" s="197">
        <f t="shared" si="2"/>
        <v>19725</v>
      </c>
      <c r="O71" s="162">
        <f t="shared" si="3"/>
        <v>55093</v>
      </c>
    </row>
    <row r="72" spans="1:15" ht="13.8" x14ac:dyDescent="0.25">
      <c r="A72" s="193">
        <v>30600</v>
      </c>
      <c r="B72" s="195" t="s">
        <v>301</v>
      </c>
      <c r="C72" s="198">
        <v>-26660</v>
      </c>
      <c r="D72" s="198">
        <v>10748</v>
      </c>
      <c r="E72" s="198">
        <v>20930</v>
      </c>
      <c r="F72" s="198">
        <v>398</v>
      </c>
      <c r="G72" s="198">
        <v>3380</v>
      </c>
      <c r="H72" s="198">
        <v>30665</v>
      </c>
      <c r="J72" s="198">
        <v>12421</v>
      </c>
      <c r="K72" s="198">
        <v>1165</v>
      </c>
      <c r="L72" s="198">
        <v>14222</v>
      </c>
      <c r="M72" s="198">
        <v>439</v>
      </c>
      <c r="N72" s="197">
        <f t="shared" si="2"/>
        <v>14661</v>
      </c>
      <c r="O72" s="162">
        <f t="shared" si="3"/>
        <v>44251</v>
      </c>
    </row>
    <row r="73" spans="1:15" ht="13.8" x14ac:dyDescent="0.25">
      <c r="A73" s="193">
        <v>30601</v>
      </c>
      <c r="B73" s="195" t="s">
        <v>302</v>
      </c>
      <c r="C73" s="198">
        <v>0</v>
      </c>
      <c r="D73" s="198">
        <v>0</v>
      </c>
      <c r="E73" s="198">
        <v>0</v>
      </c>
      <c r="F73" s="198">
        <v>0</v>
      </c>
      <c r="G73" s="198">
        <v>1238</v>
      </c>
      <c r="H73" s="198">
        <v>0</v>
      </c>
      <c r="J73" s="198">
        <v>0</v>
      </c>
      <c r="K73" s="198">
        <v>339</v>
      </c>
      <c r="L73" s="198">
        <v>0</v>
      </c>
      <c r="M73" s="198">
        <v>211</v>
      </c>
      <c r="N73" s="197">
        <f t="shared" si="2"/>
        <v>211</v>
      </c>
      <c r="O73" s="162">
        <f t="shared" si="3"/>
        <v>339</v>
      </c>
    </row>
    <row r="74" spans="1:15" ht="13.8" x14ac:dyDescent="0.25">
      <c r="A74" s="193">
        <v>30700</v>
      </c>
      <c r="B74" s="195" t="s">
        <v>303</v>
      </c>
      <c r="C74" s="198">
        <v>-65431</v>
      </c>
      <c r="D74" s="198">
        <v>26378</v>
      </c>
      <c r="E74" s="198">
        <v>51367</v>
      </c>
      <c r="F74" s="198">
        <v>976</v>
      </c>
      <c r="G74" s="198">
        <v>11916</v>
      </c>
      <c r="H74" s="198">
        <v>75259</v>
      </c>
      <c r="J74" s="198">
        <v>30484</v>
      </c>
      <c r="K74" s="198">
        <v>7920</v>
      </c>
      <c r="L74" s="198">
        <v>34905</v>
      </c>
      <c r="M74" s="198">
        <v>2039</v>
      </c>
      <c r="N74" s="197">
        <f t="shared" si="2"/>
        <v>36944</v>
      </c>
      <c r="O74" s="162">
        <f t="shared" si="3"/>
        <v>113663</v>
      </c>
    </row>
    <row r="75" spans="1:15" ht="13.8" x14ac:dyDescent="0.25">
      <c r="A75" s="193">
        <v>30705</v>
      </c>
      <c r="B75" s="195" t="s">
        <v>56</v>
      </c>
      <c r="C75" s="198">
        <v>-15238</v>
      </c>
      <c r="D75" s="198">
        <v>6143</v>
      </c>
      <c r="E75" s="198">
        <v>11963</v>
      </c>
      <c r="F75" s="198">
        <v>227</v>
      </c>
      <c r="G75" s="198">
        <v>961</v>
      </c>
      <c r="H75" s="198">
        <v>17527</v>
      </c>
      <c r="J75" s="198">
        <v>7099</v>
      </c>
      <c r="K75" s="198">
        <v>1478</v>
      </c>
      <c r="L75" s="198">
        <v>8129</v>
      </c>
      <c r="M75" s="198">
        <v>-93</v>
      </c>
      <c r="N75" s="197">
        <f t="shared" si="2"/>
        <v>8036</v>
      </c>
      <c r="O75" s="162">
        <f t="shared" si="3"/>
        <v>26104</v>
      </c>
    </row>
    <row r="76" spans="1:15" ht="13.8" x14ac:dyDescent="0.25">
      <c r="A76" s="192">
        <v>30800</v>
      </c>
      <c r="B76" s="194" t="s">
        <v>304</v>
      </c>
      <c r="C76" s="197">
        <v>-20490</v>
      </c>
      <c r="D76" s="197">
        <v>8260</v>
      </c>
      <c r="E76" s="197">
        <v>16086</v>
      </c>
      <c r="F76" s="197">
        <v>306</v>
      </c>
      <c r="G76" s="197">
        <v>8987</v>
      </c>
      <c r="H76" s="197">
        <v>23568</v>
      </c>
      <c r="J76" s="197">
        <v>9546</v>
      </c>
      <c r="K76" s="197">
        <v>0</v>
      </c>
      <c r="L76" s="197">
        <v>10931</v>
      </c>
      <c r="M76" s="197">
        <v>4612</v>
      </c>
      <c r="N76" s="197">
        <f t="shared" si="2"/>
        <v>15543</v>
      </c>
      <c r="O76" s="162">
        <f t="shared" si="3"/>
        <v>33114</v>
      </c>
    </row>
    <row r="77" spans="1:15" ht="13.8" x14ac:dyDescent="0.25">
      <c r="A77" s="192">
        <v>30900</v>
      </c>
      <c r="B77" s="194" t="s">
        <v>305</v>
      </c>
      <c r="C77" s="197">
        <v>-46241</v>
      </c>
      <c r="D77" s="197">
        <v>18642</v>
      </c>
      <c r="E77" s="197">
        <v>36302</v>
      </c>
      <c r="F77" s="197">
        <v>690</v>
      </c>
      <c r="G77" s="197">
        <v>14147</v>
      </c>
      <c r="H77" s="197">
        <v>53187</v>
      </c>
      <c r="J77" s="197">
        <v>21543</v>
      </c>
      <c r="K77" s="197">
        <v>1189</v>
      </c>
      <c r="L77" s="197">
        <v>24668</v>
      </c>
      <c r="M77" s="197">
        <v>4530</v>
      </c>
      <c r="N77" s="197">
        <f t="shared" si="2"/>
        <v>29198</v>
      </c>
      <c r="O77" s="162">
        <f t="shared" si="3"/>
        <v>75919</v>
      </c>
    </row>
    <row r="78" spans="1:15" ht="13.8" x14ac:dyDescent="0.25">
      <c r="A78" s="192">
        <v>30905</v>
      </c>
      <c r="B78" s="194" t="s">
        <v>57</v>
      </c>
      <c r="C78" s="197">
        <v>-8867</v>
      </c>
      <c r="D78" s="197">
        <v>3575</v>
      </c>
      <c r="E78" s="197">
        <v>6961</v>
      </c>
      <c r="F78" s="197">
        <v>132</v>
      </c>
      <c r="G78" s="197">
        <v>4583</v>
      </c>
      <c r="H78" s="197">
        <v>10199</v>
      </c>
      <c r="J78" s="197">
        <v>4131</v>
      </c>
      <c r="K78" s="197">
        <v>0</v>
      </c>
      <c r="L78" s="197">
        <v>4730</v>
      </c>
      <c r="M78" s="197">
        <v>1898</v>
      </c>
      <c r="N78" s="197">
        <f t="shared" si="2"/>
        <v>6628</v>
      </c>
      <c r="O78" s="162">
        <f t="shared" si="3"/>
        <v>14330</v>
      </c>
    </row>
    <row r="79" spans="1:15" ht="13.8" x14ac:dyDescent="0.25">
      <c r="A79" s="192">
        <v>31000</v>
      </c>
      <c r="B79" s="194" t="s">
        <v>306</v>
      </c>
      <c r="C79" s="197">
        <v>-144710</v>
      </c>
      <c r="D79" s="197">
        <v>58339</v>
      </c>
      <c r="E79" s="197">
        <v>113606</v>
      </c>
      <c r="F79" s="197">
        <v>2158</v>
      </c>
      <c r="G79" s="197">
        <v>7713</v>
      </c>
      <c r="H79" s="197">
        <v>166447</v>
      </c>
      <c r="J79" s="197">
        <v>67419</v>
      </c>
      <c r="K79" s="197">
        <v>3994</v>
      </c>
      <c r="L79" s="197">
        <v>77198</v>
      </c>
      <c r="M79" s="197">
        <v>-902</v>
      </c>
      <c r="N79" s="197">
        <f t="shared" si="2"/>
        <v>76296</v>
      </c>
      <c r="O79" s="162">
        <f t="shared" si="3"/>
        <v>237860</v>
      </c>
    </row>
    <row r="80" spans="1:15" ht="13.8" x14ac:dyDescent="0.25">
      <c r="A80" s="192">
        <v>31005</v>
      </c>
      <c r="B80" s="194" t="s">
        <v>58</v>
      </c>
      <c r="C80" s="197">
        <v>-14026</v>
      </c>
      <c r="D80" s="197">
        <v>5655</v>
      </c>
      <c r="E80" s="197">
        <v>11012</v>
      </c>
      <c r="F80" s="197">
        <v>209</v>
      </c>
      <c r="G80" s="197">
        <v>2114</v>
      </c>
      <c r="H80" s="197">
        <v>16133</v>
      </c>
      <c r="J80" s="197">
        <v>6535</v>
      </c>
      <c r="K80" s="197">
        <v>609</v>
      </c>
      <c r="L80" s="197">
        <v>7483</v>
      </c>
      <c r="M80" s="197">
        <v>1171</v>
      </c>
      <c r="N80" s="197">
        <f t="shared" si="2"/>
        <v>8654</v>
      </c>
      <c r="O80" s="162">
        <f t="shared" si="3"/>
        <v>23277</v>
      </c>
    </row>
    <row r="81" spans="1:15" ht="13.8" x14ac:dyDescent="0.25">
      <c r="A81" s="192">
        <v>31100</v>
      </c>
      <c r="B81" s="194" t="s">
        <v>307</v>
      </c>
      <c r="C81" s="197">
        <v>-270178</v>
      </c>
      <c r="D81" s="197">
        <v>108921</v>
      </c>
      <c r="E81" s="197">
        <v>212107</v>
      </c>
      <c r="F81" s="197">
        <v>4029</v>
      </c>
      <c r="G81" s="197">
        <v>21891</v>
      </c>
      <c r="H81" s="197">
        <v>310762</v>
      </c>
      <c r="J81" s="197">
        <v>125874</v>
      </c>
      <c r="K81" s="197">
        <v>2959</v>
      </c>
      <c r="L81" s="197">
        <v>144131</v>
      </c>
      <c r="M81" s="197">
        <v>2974</v>
      </c>
      <c r="N81" s="197">
        <f t="shared" si="2"/>
        <v>147105</v>
      </c>
      <c r="O81" s="162">
        <f t="shared" si="3"/>
        <v>439595</v>
      </c>
    </row>
    <row r="82" spans="1:15" ht="13.8" x14ac:dyDescent="0.25">
      <c r="A82" s="192">
        <v>31101</v>
      </c>
      <c r="B82" s="194" t="s">
        <v>308</v>
      </c>
      <c r="C82" s="197">
        <v>-1659</v>
      </c>
      <c r="D82" s="197">
        <v>669</v>
      </c>
      <c r="E82" s="197">
        <v>1303</v>
      </c>
      <c r="F82" s="197">
        <v>25</v>
      </c>
      <c r="G82" s="197">
        <v>823</v>
      </c>
      <c r="H82" s="197">
        <v>1909</v>
      </c>
      <c r="J82" s="197">
        <v>773</v>
      </c>
      <c r="K82" s="197">
        <v>289</v>
      </c>
      <c r="L82" s="197">
        <v>885</v>
      </c>
      <c r="M82" s="197">
        <v>155</v>
      </c>
      <c r="N82" s="197">
        <f t="shared" si="2"/>
        <v>1040</v>
      </c>
      <c r="O82" s="162">
        <f t="shared" si="3"/>
        <v>2971</v>
      </c>
    </row>
    <row r="83" spans="1:15" ht="13.8" x14ac:dyDescent="0.25">
      <c r="A83" s="192">
        <v>31102</v>
      </c>
      <c r="B83" s="194" t="s">
        <v>309</v>
      </c>
      <c r="C83" s="197">
        <v>-5057</v>
      </c>
      <c r="D83" s="197">
        <v>2039</v>
      </c>
      <c r="E83" s="197">
        <v>3970</v>
      </c>
      <c r="F83" s="197">
        <v>75</v>
      </c>
      <c r="G83" s="197">
        <v>1118</v>
      </c>
      <c r="H83" s="197">
        <v>5817</v>
      </c>
      <c r="J83" s="197">
        <v>2356</v>
      </c>
      <c r="K83" s="197">
        <v>2260</v>
      </c>
      <c r="L83" s="197">
        <v>2698</v>
      </c>
      <c r="M83" s="197">
        <v>-717</v>
      </c>
      <c r="N83" s="197">
        <f t="shared" si="2"/>
        <v>1981</v>
      </c>
      <c r="O83" s="162">
        <f t="shared" si="3"/>
        <v>10433</v>
      </c>
    </row>
    <row r="84" spans="1:15" ht="13.8" x14ac:dyDescent="0.25">
      <c r="A84" s="192">
        <v>31105</v>
      </c>
      <c r="B84" s="194" t="s">
        <v>59</v>
      </c>
      <c r="C84" s="197">
        <v>-44269</v>
      </c>
      <c r="D84" s="197">
        <v>17847</v>
      </c>
      <c r="E84" s="197">
        <v>34754</v>
      </c>
      <c r="F84" s="197">
        <v>660</v>
      </c>
      <c r="G84" s="197">
        <v>7966</v>
      </c>
      <c r="H84" s="197">
        <v>50919</v>
      </c>
      <c r="J84" s="197">
        <v>20625</v>
      </c>
      <c r="K84" s="197">
        <v>2723</v>
      </c>
      <c r="L84" s="197">
        <v>23616</v>
      </c>
      <c r="M84" s="197">
        <v>1866</v>
      </c>
      <c r="N84" s="197">
        <f t="shared" si="2"/>
        <v>25482</v>
      </c>
      <c r="O84" s="162">
        <f t="shared" si="3"/>
        <v>74267</v>
      </c>
    </row>
    <row r="85" spans="1:15" ht="13.8" x14ac:dyDescent="0.25">
      <c r="A85" s="192">
        <v>31110</v>
      </c>
      <c r="B85" s="194" t="s">
        <v>310</v>
      </c>
      <c r="C85" s="197">
        <v>-64169</v>
      </c>
      <c r="D85" s="197">
        <v>25870</v>
      </c>
      <c r="E85" s="197">
        <v>50377</v>
      </c>
      <c r="F85" s="197">
        <v>957</v>
      </c>
      <c r="G85" s="197">
        <v>5889</v>
      </c>
      <c r="H85" s="197">
        <v>73809</v>
      </c>
      <c r="J85" s="197">
        <v>29896</v>
      </c>
      <c r="K85" s="197">
        <v>6216</v>
      </c>
      <c r="L85" s="197">
        <v>34232</v>
      </c>
      <c r="M85" s="197">
        <v>-2639</v>
      </c>
      <c r="N85" s="197">
        <f t="shared" si="2"/>
        <v>31593</v>
      </c>
      <c r="O85" s="162">
        <f t="shared" si="3"/>
        <v>109921</v>
      </c>
    </row>
    <row r="86" spans="1:15" ht="13.8" x14ac:dyDescent="0.25">
      <c r="A86" s="192">
        <v>31200</v>
      </c>
      <c r="B86" s="194" t="s">
        <v>311</v>
      </c>
      <c r="C86" s="197">
        <v>-119176</v>
      </c>
      <c r="D86" s="197">
        <v>48045</v>
      </c>
      <c r="E86" s="197">
        <v>93560</v>
      </c>
      <c r="F86" s="197">
        <v>1777</v>
      </c>
      <c r="G86" s="197">
        <v>20055</v>
      </c>
      <c r="H86" s="197">
        <v>137078</v>
      </c>
      <c r="J86" s="197">
        <v>55523</v>
      </c>
      <c r="K86" s="197">
        <v>4326</v>
      </c>
      <c r="L86" s="197">
        <v>63577</v>
      </c>
      <c r="M86" s="197">
        <v>5448</v>
      </c>
      <c r="N86" s="197">
        <f t="shared" si="2"/>
        <v>69025</v>
      </c>
      <c r="O86" s="162">
        <f t="shared" si="3"/>
        <v>196927</v>
      </c>
    </row>
    <row r="87" spans="1:15" ht="13.8" x14ac:dyDescent="0.25">
      <c r="A87" s="192">
        <v>31205</v>
      </c>
      <c r="B87" s="194" t="s">
        <v>312</v>
      </c>
      <c r="C87" s="197">
        <v>-12206</v>
      </c>
      <c r="D87" s="197">
        <v>4921</v>
      </c>
      <c r="E87" s="197">
        <v>9582</v>
      </c>
      <c r="F87" s="197">
        <v>182</v>
      </c>
      <c r="G87" s="197">
        <v>5928</v>
      </c>
      <c r="H87" s="197">
        <v>14039</v>
      </c>
      <c r="J87" s="197">
        <v>5687</v>
      </c>
      <c r="K87" s="197">
        <v>328</v>
      </c>
      <c r="L87" s="197">
        <v>6511</v>
      </c>
      <c r="M87" s="197">
        <v>2743</v>
      </c>
      <c r="N87" s="197">
        <f t="shared" si="2"/>
        <v>9254</v>
      </c>
      <c r="O87" s="162">
        <f t="shared" si="3"/>
        <v>20054</v>
      </c>
    </row>
    <row r="88" spans="1:15" ht="13.8" x14ac:dyDescent="0.25">
      <c r="A88" s="193">
        <v>31300</v>
      </c>
      <c r="B88" s="195" t="s">
        <v>313</v>
      </c>
      <c r="C88" s="198">
        <v>-359167</v>
      </c>
      <c r="D88" s="198">
        <v>144797</v>
      </c>
      <c r="E88" s="198">
        <v>281969</v>
      </c>
      <c r="F88" s="198">
        <v>5356</v>
      </c>
      <c r="G88" s="198">
        <v>1317</v>
      </c>
      <c r="H88" s="198">
        <v>413119</v>
      </c>
      <c r="J88" s="198">
        <v>167333</v>
      </c>
      <c r="K88" s="198">
        <v>56497</v>
      </c>
      <c r="L88" s="198">
        <v>191604</v>
      </c>
      <c r="M88" s="198">
        <v>-23111</v>
      </c>
      <c r="N88" s="197">
        <f t="shared" si="2"/>
        <v>168493</v>
      </c>
      <c r="O88" s="162">
        <f t="shared" si="3"/>
        <v>636949</v>
      </c>
    </row>
    <row r="89" spans="1:15" ht="13.8" x14ac:dyDescent="0.25">
      <c r="A89" s="193">
        <v>31301</v>
      </c>
      <c r="B89" s="195" t="s">
        <v>314</v>
      </c>
      <c r="C89" s="198">
        <v>-6727</v>
      </c>
      <c r="D89" s="198">
        <v>2712</v>
      </c>
      <c r="E89" s="198">
        <v>5281</v>
      </c>
      <c r="F89" s="198">
        <v>100</v>
      </c>
      <c r="G89" s="198">
        <v>928</v>
      </c>
      <c r="H89" s="198">
        <v>7737</v>
      </c>
      <c r="J89" s="198">
        <v>3134</v>
      </c>
      <c r="K89" s="198">
        <v>450</v>
      </c>
      <c r="L89" s="198">
        <v>3589</v>
      </c>
      <c r="M89" s="198">
        <v>126</v>
      </c>
      <c r="N89" s="197">
        <f t="shared" si="2"/>
        <v>3715</v>
      </c>
      <c r="O89" s="162">
        <f t="shared" si="3"/>
        <v>11321</v>
      </c>
    </row>
    <row r="90" spans="1:15" ht="13.8" x14ac:dyDescent="0.25">
      <c r="A90" s="193">
        <v>31320</v>
      </c>
      <c r="B90" s="195" t="s">
        <v>315</v>
      </c>
      <c r="C90" s="198">
        <v>-59879</v>
      </c>
      <c r="D90" s="198">
        <v>24140</v>
      </c>
      <c r="E90" s="198">
        <v>47009</v>
      </c>
      <c r="F90" s="198">
        <v>893</v>
      </c>
      <c r="G90" s="198">
        <v>2529</v>
      </c>
      <c r="H90" s="198">
        <v>68874</v>
      </c>
      <c r="J90" s="198">
        <v>27897</v>
      </c>
      <c r="K90" s="198">
        <v>4033</v>
      </c>
      <c r="L90" s="198">
        <v>31944</v>
      </c>
      <c r="M90" s="198">
        <v>-2398</v>
      </c>
      <c r="N90" s="197">
        <f t="shared" si="2"/>
        <v>29546</v>
      </c>
      <c r="O90" s="162">
        <f t="shared" si="3"/>
        <v>100804</v>
      </c>
    </row>
    <row r="91" spans="1:15" ht="13.8" x14ac:dyDescent="0.25">
      <c r="A91" s="193">
        <v>31400</v>
      </c>
      <c r="B91" s="195" t="s">
        <v>316</v>
      </c>
      <c r="C91" s="198">
        <v>-113891</v>
      </c>
      <c r="D91" s="198">
        <v>45915</v>
      </c>
      <c r="E91" s="198">
        <v>89412</v>
      </c>
      <c r="F91" s="198">
        <v>1698</v>
      </c>
      <c r="G91" s="198">
        <v>32141</v>
      </c>
      <c r="H91" s="198">
        <v>130999</v>
      </c>
      <c r="J91" s="198">
        <v>53061</v>
      </c>
      <c r="K91" s="198">
        <v>137</v>
      </c>
      <c r="L91" s="198">
        <v>60757</v>
      </c>
      <c r="M91" s="198">
        <v>10169</v>
      </c>
      <c r="N91" s="197">
        <f t="shared" si="2"/>
        <v>70926</v>
      </c>
      <c r="O91" s="162">
        <f t="shared" si="3"/>
        <v>184197</v>
      </c>
    </row>
    <row r="92" spans="1:15" ht="13.8" x14ac:dyDescent="0.25">
      <c r="A92" s="193">
        <v>31405</v>
      </c>
      <c r="B92" s="195" t="s">
        <v>61</v>
      </c>
      <c r="C92" s="198">
        <v>-27697</v>
      </c>
      <c r="D92" s="198">
        <v>11166</v>
      </c>
      <c r="E92" s="198">
        <v>21744</v>
      </c>
      <c r="F92" s="198">
        <v>413</v>
      </c>
      <c r="G92" s="198">
        <v>6393</v>
      </c>
      <c r="H92" s="198">
        <v>31858</v>
      </c>
      <c r="J92" s="198">
        <v>12904</v>
      </c>
      <c r="K92" s="198">
        <v>253</v>
      </c>
      <c r="L92" s="198">
        <v>14776</v>
      </c>
      <c r="M92" s="198">
        <v>2396</v>
      </c>
      <c r="N92" s="197">
        <f t="shared" si="2"/>
        <v>17172</v>
      </c>
      <c r="O92" s="162">
        <f t="shared" si="3"/>
        <v>45015</v>
      </c>
    </row>
    <row r="93" spans="1:15" ht="13.8" x14ac:dyDescent="0.25">
      <c r="A93" s="193">
        <v>31500</v>
      </c>
      <c r="B93" s="195" t="s">
        <v>317</v>
      </c>
      <c r="C93" s="198">
        <v>-21665</v>
      </c>
      <c r="D93" s="198">
        <v>8734</v>
      </c>
      <c r="E93" s="198">
        <v>17009</v>
      </c>
      <c r="F93" s="198">
        <v>323</v>
      </c>
      <c r="G93" s="198">
        <v>3162</v>
      </c>
      <c r="H93" s="198">
        <v>24920</v>
      </c>
      <c r="J93" s="198">
        <v>10094</v>
      </c>
      <c r="K93" s="198">
        <v>1741</v>
      </c>
      <c r="L93" s="198">
        <v>11558</v>
      </c>
      <c r="M93" s="198">
        <v>756</v>
      </c>
      <c r="N93" s="197">
        <f t="shared" si="2"/>
        <v>12314</v>
      </c>
      <c r="O93" s="162">
        <f t="shared" si="3"/>
        <v>36755</v>
      </c>
    </row>
    <row r="94" spans="1:15" ht="13.8" x14ac:dyDescent="0.25">
      <c r="A94" s="192">
        <v>31600</v>
      </c>
      <c r="B94" s="194" t="s">
        <v>318</v>
      </c>
      <c r="C94" s="197">
        <v>-89690</v>
      </c>
      <c r="D94" s="197">
        <v>36158</v>
      </c>
      <c r="E94" s="197">
        <v>70413</v>
      </c>
      <c r="F94" s="197">
        <v>1337</v>
      </c>
      <c r="G94" s="197">
        <v>10824</v>
      </c>
      <c r="H94" s="197">
        <v>103163</v>
      </c>
      <c r="J94" s="197">
        <v>41786</v>
      </c>
      <c r="K94" s="197">
        <v>8837</v>
      </c>
      <c r="L94" s="197">
        <v>47847</v>
      </c>
      <c r="M94" s="197">
        <v>1517</v>
      </c>
      <c r="N94" s="197">
        <f t="shared" si="2"/>
        <v>49364</v>
      </c>
      <c r="O94" s="162">
        <f t="shared" si="3"/>
        <v>153786</v>
      </c>
    </row>
    <row r="95" spans="1:15" ht="13.8" x14ac:dyDescent="0.25">
      <c r="A95" s="192">
        <v>31605</v>
      </c>
      <c r="B95" s="194" t="s">
        <v>62</v>
      </c>
      <c r="C95" s="197">
        <v>-14761</v>
      </c>
      <c r="D95" s="197">
        <v>5951</v>
      </c>
      <c r="E95" s="197">
        <v>11588</v>
      </c>
      <c r="F95" s="197">
        <v>220</v>
      </c>
      <c r="G95" s="197">
        <v>1936</v>
      </c>
      <c r="H95" s="197">
        <v>16978</v>
      </c>
      <c r="J95" s="197">
        <v>6877</v>
      </c>
      <c r="K95" s="197">
        <v>179</v>
      </c>
      <c r="L95" s="197">
        <v>7874</v>
      </c>
      <c r="M95" s="197">
        <v>1236</v>
      </c>
      <c r="N95" s="197">
        <f t="shared" si="2"/>
        <v>9110</v>
      </c>
      <c r="O95" s="162">
        <f t="shared" si="3"/>
        <v>24034</v>
      </c>
    </row>
    <row r="96" spans="1:15" ht="13.8" x14ac:dyDescent="0.25">
      <c r="A96" s="192">
        <v>31700</v>
      </c>
      <c r="B96" s="194" t="s">
        <v>319</v>
      </c>
      <c r="C96" s="197">
        <v>-23028</v>
      </c>
      <c r="D96" s="197">
        <v>9284</v>
      </c>
      <c r="E96" s="197">
        <v>18079</v>
      </c>
      <c r="F96" s="197">
        <v>343</v>
      </c>
      <c r="G96" s="197">
        <v>9055</v>
      </c>
      <c r="H96" s="197">
        <v>26488</v>
      </c>
      <c r="J96" s="197">
        <v>10729</v>
      </c>
      <c r="K96" s="197">
        <v>11</v>
      </c>
      <c r="L96" s="197">
        <v>12285</v>
      </c>
      <c r="M96" s="197">
        <v>2427</v>
      </c>
      <c r="N96" s="197">
        <f t="shared" si="2"/>
        <v>14712</v>
      </c>
      <c r="O96" s="162">
        <f t="shared" si="3"/>
        <v>37228</v>
      </c>
    </row>
    <row r="97" spans="1:15" ht="13.8" x14ac:dyDescent="0.25">
      <c r="A97" s="192">
        <v>31800</v>
      </c>
      <c r="B97" s="194" t="s">
        <v>320</v>
      </c>
      <c r="C97" s="197">
        <v>-159625</v>
      </c>
      <c r="D97" s="197">
        <v>64352</v>
      </c>
      <c r="E97" s="197">
        <v>125316</v>
      </c>
      <c r="F97" s="197">
        <v>2380</v>
      </c>
      <c r="G97" s="197">
        <v>19435</v>
      </c>
      <c r="H97" s="197">
        <v>183603</v>
      </c>
      <c r="J97" s="197">
        <v>74368</v>
      </c>
      <c r="K97" s="197">
        <v>5804</v>
      </c>
      <c r="L97" s="197">
        <v>85155</v>
      </c>
      <c r="M97" s="197">
        <v>6186</v>
      </c>
      <c r="N97" s="197">
        <f t="shared" si="2"/>
        <v>91341</v>
      </c>
      <c r="O97" s="162">
        <f t="shared" si="3"/>
        <v>263775</v>
      </c>
    </row>
    <row r="98" spans="1:15" ht="13.8" x14ac:dyDescent="0.25">
      <c r="A98" s="192">
        <v>31805</v>
      </c>
      <c r="B98" s="194" t="s">
        <v>63</v>
      </c>
      <c r="C98" s="197">
        <v>-31583</v>
      </c>
      <c r="D98" s="197">
        <v>12732</v>
      </c>
      <c r="E98" s="197">
        <v>24794</v>
      </c>
      <c r="F98" s="197">
        <v>471</v>
      </c>
      <c r="G98" s="197">
        <v>6158</v>
      </c>
      <c r="H98" s="197">
        <v>36327</v>
      </c>
      <c r="J98" s="197">
        <v>14714</v>
      </c>
      <c r="K98" s="197">
        <v>1231</v>
      </c>
      <c r="L98" s="197">
        <v>16848</v>
      </c>
      <c r="M98" s="197">
        <v>2321</v>
      </c>
      <c r="N98" s="197">
        <f t="shared" si="2"/>
        <v>19169</v>
      </c>
      <c r="O98" s="162">
        <f t="shared" si="3"/>
        <v>52272</v>
      </c>
    </row>
    <row r="99" spans="1:15" ht="13.8" x14ac:dyDescent="0.25">
      <c r="A99" s="192">
        <v>31810</v>
      </c>
      <c r="B99" s="194" t="s">
        <v>321</v>
      </c>
      <c r="C99" s="197">
        <v>-38141</v>
      </c>
      <c r="D99" s="197">
        <v>15377</v>
      </c>
      <c r="E99" s="197">
        <v>29943</v>
      </c>
      <c r="F99" s="197">
        <v>569</v>
      </c>
      <c r="G99" s="197">
        <v>7874</v>
      </c>
      <c r="H99" s="197">
        <v>43871</v>
      </c>
      <c r="J99" s="197">
        <v>17770</v>
      </c>
      <c r="K99" s="197">
        <v>0</v>
      </c>
      <c r="L99" s="197">
        <v>20347</v>
      </c>
      <c r="M99" s="197">
        <v>2835</v>
      </c>
      <c r="N99" s="197">
        <f t="shared" si="2"/>
        <v>23182</v>
      </c>
      <c r="O99" s="162">
        <f t="shared" si="3"/>
        <v>61641</v>
      </c>
    </row>
    <row r="100" spans="1:15" ht="13.8" x14ac:dyDescent="0.25">
      <c r="A100" s="193">
        <v>31820</v>
      </c>
      <c r="B100" s="195" t="s">
        <v>322</v>
      </c>
      <c r="C100" s="198">
        <v>-30667</v>
      </c>
      <c r="D100" s="198">
        <v>12363</v>
      </c>
      <c r="E100" s="198">
        <v>24076</v>
      </c>
      <c r="F100" s="198">
        <v>457</v>
      </c>
      <c r="G100" s="198">
        <v>5107</v>
      </c>
      <c r="H100" s="198">
        <v>35274</v>
      </c>
      <c r="J100" s="198">
        <v>14288</v>
      </c>
      <c r="K100" s="198">
        <v>139</v>
      </c>
      <c r="L100" s="198">
        <v>16360</v>
      </c>
      <c r="M100" s="198">
        <v>1715</v>
      </c>
      <c r="N100" s="197">
        <f t="shared" si="2"/>
        <v>18075</v>
      </c>
      <c r="O100" s="162">
        <f t="shared" si="3"/>
        <v>49701</v>
      </c>
    </row>
    <row r="101" spans="1:15" ht="13.8" x14ac:dyDescent="0.25">
      <c r="A101" s="193">
        <v>31900</v>
      </c>
      <c r="B101" s="195" t="s">
        <v>323</v>
      </c>
      <c r="C101" s="198">
        <v>-104543</v>
      </c>
      <c r="D101" s="198">
        <v>42146</v>
      </c>
      <c r="E101" s="198">
        <v>82073</v>
      </c>
      <c r="F101" s="198">
        <v>1559</v>
      </c>
      <c r="G101" s="198">
        <v>2350</v>
      </c>
      <c r="H101" s="198">
        <v>120247</v>
      </c>
      <c r="J101" s="198">
        <v>48706</v>
      </c>
      <c r="K101" s="198">
        <v>7504</v>
      </c>
      <c r="L101" s="198">
        <v>55771</v>
      </c>
      <c r="M101" s="198">
        <v>-2434</v>
      </c>
      <c r="N101" s="197">
        <f t="shared" si="2"/>
        <v>53337</v>
      </c>
      <c r="O101" s="162">
        <f t="shared" si="3"/>
        <v>176457</v>
      </c>
    </row>
    <row r="102" spans="1:15" ht="13.8" x14ac:dyDescent="0.25">
      <c r="A102" s="193">
        <v>32000</v>
      </c>
      <c r="B102" s="195" t="s">
        <v>324</v>
      </c>
      <c r="C102" s="198">
        <v>-37315</v>
      </c>
      <c r="D102" s="198">
        <v>15043</v>
      </c>
      <c r="E102" s="198">
        <v>29295</v>
      </c>
      <c r="F102" s="198">
        <v>556</v>
      </c>
      <c r="G102" s="198">
        <v>5832</v>
      </c>
      <c r="H102" s="198">
        <v>42920</v>
      </c>
      <c r="J102" s="198">
        <v>17385</v>
      </c>
      <c r="K102" s="198">
        <v>576</v>
      </c>
      <c r="L102" s="198">
        <v>19906</v>
      </c>
      <c r="M102" s="198">
        <v>1151</v>
      </c>
      <c r="N102" s="197">
        <f t="shared" si="2"/>
        <v>21057</v>
      </c>
      <c r="O102" s="162">
        <f t="shared" si="3"/>
        <v>60881</v>
      </c>
    </row>
    <row r="103" spans="1:15" ht="13.8" x14ac:dyDescent="0.25">
      <c r="A103" s="193">
        <v>32005</v>
      </c>
      <c r="B103" s="195" t="s">
        <v>64</v>
      </c>
      <c r="C103" s="198">
        <v>-10283</v>
      </c>
      <c r="D103" s="198">
        <v>4145</v>
      </c>
      <c r="E103" s="198">
        <v>8073</v>
      </c>
      <c r="F103" s="198">
        <v>153</v>
      </c>
      <c r="G103" s="198">
        <v>844</v>
      </c>
      <c r="H103" s="198">
        <v>11827</v>
      </c>
      <c r="J103" s="198">
        <v>4791</v>
      </c>
      <c r="K103" s="198">
        <v>2354</v>
      </c>
      <c r="L103" s="198">
        <v>5486</v>
      </c>
      <c r="M103" s="198">
        <v>-220</v>
      </c>
      <c r="N103" s="197">
        <f t="shared" si="2"/>
        <v>5266</v>
      </c>
      <c r="O103" s="162">
        <f t="shared" si="3"/>
        <v>18972</v>
      </c>
    </row>
    <row r="104" spans="1:15" ht="13.8" x14ac:dyDescent="0.25">
      <c r="A104" s="193">
        <v>32100</v>
      </c>
      <c r="B104" s="195" t="s">
        <v>325</v>
      </c>
      <c r="C104" s="198">
        <v>-21086</v>
      </c>
      <c r="D104" s="198">
        <v>8501</v>
      </c>
      <c r="E104" s="198">
        <v>16554</v>
      </c>
      <c r="F104" s="198">
        <v>314</v>
      </c>
      <c r="G104" s="198">
        <v>5636</v>
      </c>
      <c r="H104" s="198">
        <v>24253</v>
      </c>
      <c r="J104" s="198">
        <v>9824</v>
      </c>
      <c r="K104" s="198">
        <v>969</v>
      </c>
      <c r="L104" s="198">
        <v>11249</v>
      </c>
      <c r="M104" s="198">
        <v>1548</v>
      </c>
      <c r="N104" s="197">
        <f t="shared" si="2"/>
        <v>12797</v>
      </c>
      <c r="O104" s="162">
        <f t="shared" si="3"/>
        <v>35046</v>
      </c>
    </row>
    <row r="105" spans="1:15" ht="13.8" x14ac:dyDescent="0.25">
      <c r="A105" s="193">
        <v>32200</v>
      </c>
      <c r="B105" s="195" t="s">
        <v>326</v>
      </c>
      <c r="C105" s="198">
        <v>-17312</v>
      </c>
      <c r="D105" s="198">
        <v>6979</v>
      </c>
      <c r="E105" s="198">
        <v>13591</v>
      </c>
      <c r="F105" s="198">
        <v>258</v>
      </c>
      <c r="G105" s="198">
        <v>1370</v>
      </c>
      <c r="H105" s="198">
        <v>19913</v>
      </c>
      <c r="J105" s="198">
        <v>8066</v>
      </c>
      <c r="K105" s="198">
        <v>1086</v>
      </c>
      <c r="L105" s="198">
        <v>9236</v>
      </c>
      <c r="M105" s="198">
        <v>-575</v>
      </c>
      <c r="N105" s="197">
        <f t="shared" si="2"/>
        <v>8661</v>
      </c>
      <c r="O105" s="162">
        <f t="shared" si="3"/>
        <v>29065</v>
      </c>
    </row>
    <row r="106" spans="1:15" ht="13.8" x14ac:dyDescent="0.25">
      <c r="A106" s="192">
        <v>32300</v>
      </c>
      <c r="B106" s="194" t="s">
        <v>327</v>
      </c>
      <c r="C106" s="197">
        <v>-154650</v>
      </c>
      <c r="D106" s="197">
        <v>62347</v>
      </c>
      <c r="E106" s="197">
        <v>121410</v>
      </c>
      <c r="F106" s="197">
        <v>2306</v>
      </c>
      <c r="G106" s="197">
        <v>26334</v>
      </c>
      <c r="H106" s="197">
        <v>177881</v>
      </c>
      <c r="J106" s="197">
        <v>72050</v>
      </c>
      <c r="K106" s="197">
        <v>3467</v>
      </c>
      <c r="L106" s="197">
        <v>82501</v>
      </c>
      <c r="M106" s="197">
        <v>8686</v>
      </c>
      <c r="N106" s="197">
        <f t="shared" si="2"/>
        <v>91187</v>
      </c>
      <c r="O106" s="162">
        <f t="shared" si="3"/>
        <v>253398</v>
      </c>
    </row>
    <row r="107" spans="1:15" ht="13.8" x14ac:dyDescent="0.25">
      <c r="A107" s="192">
        <v>32305</v>
      </c>
      <c r="B107" s="194" t="s">
        <v>328</v>
      </c>
      <c r="C107" s="197">
        <v>-20240</v>
      </c>
      <c r="D107" s="197">
        <v>8160</v>
      </c>
      <c r="E107" s="197">
        <v>15889</v>
      </c>
      <c r="F107" s="197">
        <v>302</v>
      </c>
      <c r="G107" s="197">
        <v>1766</v>
      </c>
      <c r="H107" s="197">
        <v>23280</v>
      </c>
      <c r="J107" s="197">
        <v>9429</v>
      </c>
      <c r="K107" s="197">
        <v>2654</v>
      </c>
      <c r="L107" s="197">
        <v>10797</v>
      </c>
      <c r="M107" s="197">
        <v>81</v>
      </c>
      <c r="N107" s="197">
        <f t="shared" si="2"/>
        <v>10878</v>
      </c>
      <c r="O107" s="162">
        <f t="shared" si="3"/>
        <v>35363</v>
      </c>
    </row>
    <row r="108" spans="1:15" ht="13.8" x14ac:dyDescent="0.25">
      <c r="A108" s="192">
        <v>32400</v>
      </c>
      <c r="B108" s="194" t="s">
        <v>329</v>
      </c>
      <c r="C108" s="197">
        <v>-58062</v>
      </c>
      <c r="D108" s="197">
        <v>23407</v>
      </c>
      <c r="E108" s="197">
        <v>45582</v>
      </c>
      <c r="F108" s="197">
        <v>866</v>
      </c>
      <c r="G108" s="197">
        <v>10247</v>
      </c>
      <c r="H108" s="197">
        <v>66783</v>
      </c>
      <c r="J108" s="197">
        <v>27051</v>
      </c>
      <c r="K108" s="197">
        <v>1439</v>
      </c>
      <c r="L108" s="197">
        <v>30974</v>
      </c>
      <c r="M108" s="197">
        <v>4084</v>
      </c>
      <c r="N108" s="197">
        <f t="shared" si="2"/>
        <v>35058</v>
      </c>
      <c r="O108" s="162">
        <f t="shared" si="3"/>
        <v>95273</v>
      </c>
    </row>
    <row r="109" spans="1:15" ht="13.8" x14ac:dyDescent="0.25">
      <c r="A109" s="192">
        <v>32405</v>
      </c>
      <c r="B109" s="194" t="s">
        <v>66</v>
      </c>
      <c r="C109" s="197">
        <v>-14445</v>
      </c>
      <c r="D109" s="197">
        <v>5823</v>
      </c>
      <c r="E109" s="197">
        <v>11340</v>
      </c>
      <c r="F109" s="197">
        <v>215</v>
      </c>
      <c r="G109" s="197">
        <v>4344</v>
      </c>
      <c r="H109" s="197">
        <v>16614</v>
      </c>
      <c r="J109" s="197">
        <v>6730</v>
      </c>
      <c r="K109" s="197">
        <v>0</v>
      </c>
      <c r="L109" s="197">
        <v>7706</v>
      </c>
      <c r="M109" s="197">
        <v>1683</v>
      </c>
      <c r="N109" s="197">
        <f t="shared" si="2"/>
        <v>9389</v>
      </c>
      <c r="O109" s="162">
        <f t="shared" si="3"/>
        <v>23344</v>
      </c>
    </row>
    <row r="110" spans="1:15" ht="13.8" x14ac:dyDescent="0.25">
      <c r="A110" s="192">
        <v>32410</v>
      </c>
      <c r="B110" s="194" t="s">
        <v>330</v>
      </c>
      <c r="C110" s="197">
        <v>-24662</v>
      </c>
      <c r="D110" s="197">
        <v>9942</v>
      </c>
      <c r="E110" s="197">
        <v>19361</v>
      </c>
      <c r="F110" s="197">
        <v>368</v>
      </c>
      <c r="G110" s="197">
        <v>3212</v>
      </c>
      <c r="H110" s="197">
        <v>28366</v>
      </c>
      <c r="J110" s="197">
        <v>11490</v>
      </c>
      <c r="K110" s="197">
        <v>2360</v>
      </c>
      <c r="L110" s="197">
        <v>13156</v>
      </c>
      <c r="M110" s="197">
        <v>1095</v>
      </c>
      <c r="N110" s="197">
        <f t="shared" si="2"/>
        <v>14251</v>
      </c>
      <c r="O110" s="162">
        <f t="shared" si="3"/>
        <v>42216</v>
      </c>
    </row>
    <row r="111" spans="1:15" ht="13.8" x14ac:dyDescent="0.25">
      <c r="A111" s="192">
        <v>32500</v>
      </c>
      <c r="B111" s="194" t="s">
        <v>331</v>
      </c>
      <c r="C111" s="197">
        <v>-136268</v>
      </c>
      <c r="D111" s="197">
        <v>54936</v>
      </c>
      <c r="E111" s="197">
        <v>106979</v>
      </c>
      <c r="F111" s="197">
        <v>2032</v>
      </c>
      <c r="G111" s="197">
        <v>11055</v>
      </c>
      <c r="H111" s="197">
        <v>156737</v>
      </c>
      <c r="J111" s="197">
        <v>63486</v>
      </c>
      <c r="K111" s="197">
        <v>12654</v>
      </c>
      <c r="L111" s="197">
        <v>72695</v>
      </c>
      <c r="M111" s="197">
        <v>-2839</v>
      </c>
      <c r="N111" s="197">
        <f t="shared" si="2"/>
        <v>69856</v>
      </c>
      <c r="O111" s="162">
        <f t="shared" si="3"/>
        <v>232877</v>
      </c>
    </row>
    <row r="112" spans="1:15" ht="13.8" x14ac:dyDescent="0.25">
      <c r="A112" s="193">
        <v>32505</v>
      </c>
      <c r="B112" s="195" t="s">
        <v>67</v>
      </c>
      <c r="C112" s="198">
        <v>-22307</v>
      </c>
      <c r="D112" s="198">
        <v>8993</v>
      </c>
      <c r="E112" s="198">
        <v>17513</v>
      </c>
      <c r="F112" s="198">
        <v>333</v>
      </c>
      <c r="G112" s="198">
        <v>3346</v>
      </c>
      <c r="H112" s="198">
        <v>25658</v>
      </c>
      <c r="J112" s="198">
        <v>10393</v>
      </c>
      <c r="K112" s="198">
        <v>891</v>
      </c>
      <c r="L112" s="198">
        <v>11900</v>
      </c>
      <c r="M112" s="198">
        <v>801</v>
      </c>
      <c r="N112" s="197">
        <f t="shared" si="2"/>
        <v>12701</v>
      </c>
      <c r="O112" s="162">
        <f t="shared" si="3"/>
        <v>36942</v>
      </c>
    </row>
    <row r="113" spans="1:15" ht="13.8" x14ac:dyDescent="0.25">
      <c r="A113" s="193">
        <v>32600</v>
      </c>
      <c r="B113" s="195" t="s">
        <v>332</v>
      </c>
      <c r="C113" s="198">
        <v>-473950</v>
      </c>
      <c r="D113" s="198">
        <v>191071</v>
      </c>
      <c r="E113" s="198">
        <v>372081</v>
      </c>
      <c r="F113" s="198">
        <v>7068</v>
      </c>
      <c r="G113" s="198">
        <v>51091</v>
      </c>
      <c r="H113" s="198">
        <v>545145</v>
      </c>
      <c r="J113" s="198">
        <v>220810</v>
      </c>
      <c r="K113" s="198">
        <v>60706</v>
      </c>
      <c r="L113" s="198">
        <v>252838</v>
      </c>
      <c r="M113" s="198">
        <v>546</v>
      </c>
      <c r="N113" s="197">
        <f t="shared" si="2"/>
        <v>253384</v>
      </c>
      <c r="O113" s="162">
        <f t="shared" si="3"/>
        <v>826661</v>
      </c>
    </row>
    <row r="114" spans="1:15" ht="13.8" x14ac:dyDescent="0.25">
      <c r="A114" s="193">
        <v>32605</v>
      </c>
      <c r="B114" s="195" t="s">
        <v>68</v>
      </c>
      <c r="C114" s="198">
        <v>-82802</v>
      </c>
      <c r="D114" s="198">
        <v>33381</v>
      </c>
      <c r="E114" s="198">
        <v>65005</v>
      </c>
      <c r="F114" s="198">
        <v>1235</v>
      </c>
      <c r="G114" s="198">
        <v>7064</v>
      </c>
      <c r="H114" s="198">
        <v>95241</v>
      </c>
      <c r="J114" s="198">
        <v>38577</v>
      </c>
      <c r="K114" s="198">
        <v>8341</v>
      </c>
      <c r="L114" s="198">
        <v>44172</v>
      </c>
      <c r="M114" s="198">
        <v>346</v>
      </c>
      <c r="N114" s="197">
        <f t="shared" si="2"/>
        <v>44518</v>
      </c>
      <c r="O114" s="162">
        <f t="shared" si="3"/>
        <v>142159</v>
      </c>
    </row>
    <row r="115" spans="1:15" ht="13.8" x14ac:dyDescent="0.25">
      <c r="A115" s="193">
        <v>32700</v>
      </c>
      <c r="B115" s="195" t="s">
        <v>333</v>
      </c>
      <c r="C115" s="198">
        <v>-53363</v>
      </c>
      <c r="D115" s="198">
        <v>21513</v>
      </c>
      <c r="E115" s="198">
        <v>41893</v>
      </c>
      <c r="F115" s="198">
        <v>796</v>
      </c>
      <c r="G115" s="198">
        <v>0</v>
      </c>
      <c r="H115" s="198">
        <v>61379</v>
      </c>
      <c r="J115" s="198">
        <v>24862</v>
      </c>
      <c r="K115" s="198">
        <v>7108</v>
      </c>
      <c r="L115" s="198">
        <v>28468</v>
      </c>
      <c r="M115" s="198">
        <v>-3078</v>
      </c>
      <c r="N115" s="197">
        <f t="shared" si="2"/>
        <v>25390</v>
      </c>
      <c r="O115" s="162">
        <f t="shared" si="3"/>
        <v>93349</v>
      </c>
    </row>
    <row r="116" spans="1:15" ht="13.8" x14ac:dyDescent="0.25">
      <c r="A116" s="193">
        <v>32800</v>
      </c>
      <c r="B116" s="195" t="s">
        <v>334</v>
      </c>
      <c r="C116" s="198">
        <v>-68835</v>
      </c>
      <c r="D116" s="198">
        <v>27751</v>
      </c>
      <c r="E116" s="198">
        <v>54040</v>
      </c>
      <c r="F116" s="198">
        <v>1026</v>
      </c>
      <c r="G116" s="198">
        <v>2465</v>
      </c>
      <c r="H116" s="198">
        <v>79175</v>
      </c>
      <c r="J116" s="198">
        <v>32070</v>
      </c>
      <c r="K116" s="198">
        <v>8161</v>
      </c>
      <c r="L116" s="198">
        <v>36721</v>
      </c>
      <c r="M116" s="198">
        <v>-2960</v>
      </c>
      <c r="N116" s="197">
        <f t="shared" si="2"/>
        <v>33761</v>
      </c>
      <c r="O116" s="162">
        <f t="shared" si="3"/>
        <v>119406</v>
      </c>
    </row>
    <row r="117" spans="1:15" ht="13.8" x14ac:dyDescent="0.25">
      <c r="A117" s="193">
        <v>32900</v>
      </c>
      <c r="B117" s="195" t="s">
        <v>335</v>
      </c>
      <c r="C117" s="198">
        <v>-173576</v>
      </c>
      <c r="D117" s="198">
        <v>69977</v>
      </c>
      <c r="E117" s="198">
        <v>136268</v>
      </c>
      <c r="F117" s="198">
        <v>2588</v>
      </c>
      <c r="G117" s="198">
        <v>19014</v>
      </c>
      <c r="H117" s="198">
        <v>199650</v>
      </c>
      <c r="J117" s="198">
        <v>80868</v>
      </c>
      <c r="K117" s="198">
        <v>5349</v>
      </c>
      <c r="L117" s="198">
        <v>92597</v>
      </c>
      <c r="M117" s="198">
        <v>1801</v>
      </c>
      <c r="N117" s="197">
        <f t="shared" si="2"/>
        <v>94398</v>
      </c>
      <c r="O117" s="162">
        <f t="shared" si="3"/>
        <v>285867</v>
      </c>
    </row>
    <row r="118" spans="1:15" ht="13.8" x14ac:dyDescent="0.25">
      <c r="A118" s="192">
        <v>32901</v>
      </c>
      <c r="B118" s="194" t="s">
        <v>336</v>
      </c>
      <c r="C118" s="197">
        <v>0</v>
      </c>
      <c r="D118" s="197">
        <v>0</v>
      </c>
      <c r="E118" s="197">
        <v>0</v>
      </c>
      <c r="F118" s="197">
        <v>0</v>
      </c>
      <c r="G118" s="197">
        <v>3301</v>
      </c>
      <c r="H118" s="197">
        <v>0</v>
      </c>
      <c r="J118" s="197">
        <v>0</v>
      </c>
      <c r="K118" s="197">
        <v>1812</v>
      </c>
      <c r="L118" s="197">
        <v>0</v>
      </c>
      <c r="M118" s="197">
        <v>484</v>
      </c>
      <c r="N118" s="197">
        <f t="shared" si="2"/>
        <v>484</v>
      </c>
      <c r="O118" s="162">
        <f t="shared" si="3"/>
        <v>1812</v>
      </c>
    </row>
    <row r="119" spans="1:15" ht="13.8" x14ac:dyDescent="0.25">
      <c r="A119" s="192">
        <v>32904</v>
      </c>
      <c r="B119" s="194" t="s">
        <v>337</v>
      </c>
      <c r="C119" s="197">
        <v>-3447</v>
      </c>
      <c r="D119" s="197">
        <v>1390</v>
      </c>
      <c r="E119" s="197">
        <v>2706</v>
      </c>
      <c r="F119" s="197">
        <v>51</v>
      </c>
      <c r="G119" s="197">
        <v>0</v>
      </c>
      <c r="H119" s="197">
        <v>3965</v>
      </c>
      <c r="J119" s="197">
        <v>1606</v>
      </c>
      <c r="K119" s="197">
        <v>3288</v>
      </c>
      <c r="L119" s="197">
        <v>1839</v>
      </c>
      <c r="M119" s="197">
        <v>-1294</v>
      </c>
      <c r="N119" s="197">
        <f t="shared" si="2"/>
        <v>545</v>
      </c>
      <c r="O119" s="162">
        <f t="shared" si="3"/>
        <v>8859</v>
      </c>
    </row>
    <row r="120" spans="1:15" ht="13.8" x14ac:dyDescent="0.25">
      <c r="A120" s="192">
        <v>32905</v>
      </c>
      <c r="B120" s="194" t="s">
        <v>69</v>
      </c>
      <c r="C120" s="197">
        <v>-24925</v>
      </c>
      <c r="D120" s="197">
        <v>10048</v>
      </c>
      <c r="E120" s="197">
        <v>19568</v>
      </c>
      <c r="F120" s="197">
        <v>372</v>
      </c>
      <c r="G120" s="197">
        <v>5037</v>
      </c>
      <c r="H120" s="197">
        <v>28669</v>
      </c>
      <c r="J120" s="197">
        <v>11612</v>
      </c>
      <c r="K120" s="197">
        <v>545</v>
      </c>
      <c r="L120" s="197">
        <v>13297</v>
      </c>
      <c r="M120" s="197">
        <v>2504</v>
      </c>
      <c r="N120" s="197">
        <f t="shared" si="2"/>
        <v>15801</v>
      </c>
      <c r="O120" s="162">
        <f t="shared" si="3"/>
        <v>40826</v>
      </c>
    </row>
    <row r="121" spans="1:15" ht="13.8" x14ac:dyDescent="0.25">
      <c r="A121" s="192">
        <v>32910</v>
      </c>
      <c r="B121" s="194" t="s">
        <v>338</v>
      </c>
      <c r="C121" s="197">
        <v>-32057</v>
      </c>
      <c r="D121" s="197">
        <v>12924</v>
      </c>
      <c r="E121" s="197">
        <v>25167</v>
      </c>
      <c r="F121" s="197">
        <v>478</v>
      </c>
      <c r="G121" s="197">
        <v>3818</v>
      </c>
      <c r="H121" s="197">
        <v>36872</v>
      </c>
      <c r="J121" s="197">
        <v>14935</v>
      </c>
      <c r="K121" s="197">
        <v>1237</v>
      </c>
      <c r="L121" s="197">
        <v>17101</v>
      </c>
      <c r="M121" s="197">
        <v>801</v>
      </c>
      <c r="N121" s="197">
        <f t="shared" si="2"/>
        <v>17902</v>
      </c>
      <c r="O121" s="162">
        <f t="shared" si="3"/>
        <v>53044</v>
      </c>
    </row>
    <row r="122" spans="1:15" ht="13.8" x14ac:dyDescent="0.25">
      <c r="A122" s="192">
        <v>32915</v>
      </c>
      <c r="B122" s="194" t="s">
        <v>549</v>
      </c>
      <c r="C122" s="197">
        <v>-4514</v>
      </c>
      <c r="D122" s="197">
        <v>1820</v>
      </c>
      <c r="E122" s="197">
        <v>3544</v>
      </c>
      <c r="F122" s="197">
        <v>67</v>
      </c>
      <c r="G122" s="197">
        <v>0</v>
      </c>
      <c r="H122" s="197">
        <v>5192</v>
      </c>
      <c r="J122" s="197">
        <v>2103</v>
      </c>
      <c r="K122" s="197">
        <v>4886</v>
      </c>
      <c r="L122" s="197">
        <v>2408</v>
      </c>
      <c r="M122" s="197">
        <v>-1571</v>
      </c>
      <c r="N122" s="197">
        <f t="shared" si="2"/>
        <v>837</v>
      </c>
      <c r="O122" s="162">
        <f t="shared" si="3"/>
        <v>12181</v>
      </c>
    </row>
    <row r="123" spans="1:15" ht="13.8" x14ac:dyDescent="0.25">
      <c r="A123" s="192">
        <v>32920</v>
      </c>
      <c r="B123" s="194" t="s">
        <v>340</v>
      </c>
      <c r="C123" s="197">
        <v>-23325</v>
      </c>
      <c r="D123" s="197">
        <v>9403</v>
      </c>
      <c r="E123" s="197">
        <v>18311</v>
      </c>
      <c r="F123" s="197">
        <v>348</v>
      </c>
      <c r="G123" s="197">
        <v>2854</v>
      </c>
      <c r="H123" s="197">
        <v>26829</v>
      </c>
      <c r="J123" s="197">
        <v>10867</v>
      </c>
      <c r="K123" s="197">
        <v>423</v>
      </c>
      <c r="L123" s="197">
        <v>12443</v>
      </c>
      <c r="M123" s="197">
        <v>501</v>
      </c>
      <c r="N123" s="197">
        <f t="shared" si="2"/>
        <v>12944</v>
      </c>
      <c r="O123" s="162">
        <f t="shared" si="3"/>
        <v>38119</v>
      </c>
    </row>
    <row r="124" spans="1:15" ht="13.8" x14ac:dyDescent="0.25">
      <c r="A124" s="193">
        <v>33000</v>
      </c>
      <c r="B124" s="196" t="s">
        <v>341</v>
      </c>
      <c r="C124" s="198">
        <v>-65934</v>
      </c>
      <c r="D124" s="198">
        <v>26581</v>
      </c>
      <c r="E124" s="198">
        <v>51763</v>
      </c>
      <c r="F124" s="198">
        <v>983</v>
      </c>
      <c r="G124" s="198">
        <v>9446</v>
      </c>
      <c r="H124" s="198">
        <v>75839</v>
      </c>
      <c r="J124" s="198">
        <v>30718</v>
      </c>
      <c r="K124" s="198">
        <v>1085</v>
      </c>
      <c r="L124" s="198">
        <v>35174</v>
      </c>
      <c r="M124" s="198">
        <v>931</v>
      </c>
      <c r="N124" s="197">
        <f t="shared" si="2"/>
        <v>36105</v>
      </c>
      <c r="O124" s="162">
        <f t="shared" si="3"/>
        <v>107642</v>
      </c>
    </row>
    <row r="125" spans="1:15" ht="13.8" x14ac:dyDescent="0.25">
      <c r="A125" s="193">
        <v>33001</v>
      </c>
      <c r="B125" s="195" t="s">
        <v>342</v>
      </c>
      <c r="C125" s="198">
        <v>-830</v>
      </c>
      <c r="D125" s="198">
        <v>335</v>
      </c>
      <c r="E125" s="198">
        <v>651</v>
      </c>
      <c r="F125" s="198">
        <v>12</v>
      </c>
      <c r="G125" s="198">
        <v>1249</v>
      </c>
      <c r="H125" s="198">
        <v>954</v>
      </c>
      <c r="J125" s="198">
        <v>387</v>
      </c>
      <c r="K125" s="198">
        <v>52</v>
      </c>
      <c r="L125" s="198">
        <v>443</v>
      </c>
      <c r="M125" s="198">
        <v>567</v>
      </c>
      <c r="N125" s="197">
        <f t="shared" si="2"/>
        <v>1010</v>
      </c>
      <c r="O125" s="162">
        <f t="shared" si="3"/>
        <v>1393</v>
      </c>
    </row>
    <row r="126" spans="1:15" ht="13.8" x14ac:dyDescent="0.25">
      <c r="A126" s="193">
        <v>33027</v>
      </c>
      <c r="B126" s="195" t="s">
        <v>343</v>
      </c>
      <c r="C126" s="198">
        <v>-10997</v>
      </c>
      <c r="D126" s="198">
        <v>4434</v>
      </c>
      <c r="E126" s="198">
        <v>8634</v>
      </c>
      <c r="F126" s="198">
        <v>164</v>
      </c>
      <c r="G126" s="198">
        <v>0</v>
      </c>
      <c r="H126" s="198">
        <v>12649</v>
      </c>
      <c r="J126" s="198">
        <v>5124</v>
      </c>
      <c r="K126" s="198">
        <v>3715</v>
      </c>
      <c r="L126" s="198">
        <v>5867</v>
      </c>
      <c r="M126" s="198">
        <v>-1711</v>
      </c>
      <c r="N126" s="197">
        <f t="shared" si="2"/>
        <v>4156</v>
      </c>
      <c r="O126" s="162">
        <f t="shared" si="3"/>
        <v>21488</v>
      </c>
    </row>
    <row r="127" spans="1:15" ht="13.8" x14ac:dyDescent="0.25">
      <c r="A127" s="193">
        <v>33100</v>
      </c>
      <c r="B127" s="195" t="s">
        <v>344</v>
      </c>
      <c r="C127" s="198">
        <v>-92970</v>
      </c>
      <c r="D127" s="198">
        <v>37480</v>
      </c>
      <c r="E127" s="198">
        <v>72987</v>
      </c>
      <c r="F127" s="198">
        <v>1386</v>
      </c>
      <c r="G127" s="198">
        <v>12009</v>
      </c>
      <c r="H127" s="198">
        <v>106935</v>
      </c>
      <c r="J127" s="198">
        <v>43314</v>
      </c>
      <c r="K127" s="198">
        <v>12</v>
      </c>
      <c r="L127" s="198">
        <v>49597</v>
      </c>
      <c r="M127" s="198">
        <v>4630</v>
      </c>
      <c r="N127" s="197">
        <f t="shared" si="2"/>
        <v>54227</v>
      </c>
      <c r="O127" s="162">
        <f t="shared" si="3"/>
        <v>150261</v>
      </c>
    </row>
    <row r="128" spans="1:15" ht="13.8" x14ac:dyDescent="0.25">
      <c r="A128" s="193">
        <v>33105</v>
      </c>
      <c r="B128" s="195" t="s">
        <v>70</v>
      </c>
      <c r="C128" s="198">
        <v>-11168</v>
      </c>
      <c r="D128" s="198">
        <v>4503</v>
      </c>
      <c r="E128" s="198">
        <v>8768</v>
      </c>
      <c r="F128" s="198">
        <v>167</v>
      </c>
      <c r="G128" s="198">
        <v>2111</v>
      </c>
      <c r="H128" s="198">
        <v>12846</v>
      </c>
      <c r="J128" s="198">
        <v>5203</v>
      </c>
      <c r="K128" s="198">
        <v>1129</v>
      </c>
      <c r="L128" s="198">
        <v>5958</v>
      </c>
      <c r="M128" s="198">
        <v>634</v>
      </c>
      <c r="N128" s="197">
        <f t="shared" si="2"/>
        <v>6592</v>
      </c>
      <c r="O128" s="162">
        <f t="shared" si="3"/>
        <v>19178</v>
      </c>
    </row>
    <row r="129" spans="1:15" ht="13.8" x14ac:dyDescent="0.25">
      <c r="A129" s="193">
        <v>33200</v>
      </c>
      <c r="B129" s="196" t="s">
        <v>345</v>
      </c>
      <c r="C129" s="198">
        <v>-451583</v>
      </c>
      <c r="D129" s="198">
        <v>182054</v>
      </c>
      <c r="E129" s="198">
        <v>354522</v>
      </c>
      <c r="F129" s="198">
        <v>6734</v>
      </c>
      <c r="G129" s="198">
        <v>4677</v>
      </c>
      <c r="H129" s="198">
        <v>519418</v>
      </c>
      <c r="J129" s="198">
        <v>210390</v>
      </c>
      <c r="K129" s="198">
        <v>72985</v>
      </c>
      <c r="L129" s="198">
        <v>240906</v>
      </c>
      <c r="M129" s="198">
        <v>-24047</v>
      </c>
      <c r="N129" s="197">
        <f t="shared" si="2"/>
        <v>216859</v>
      </c>
      <c r="O129" s="162">
        <f t="shared" si="3"/>
        <v>802793</v>
      </c>
    </row>
    <row r="130" spans="1:15" ht="13.8" x14ac:dyDescent="0.25">
      <c r="A130" s="192">
        <v>33202</v>
      </c>
      <c r="B130" s="194" t="s">
        <v>346</v>
      </c>
      <c r="C130" s="197">
        <v>-8271</v>
      </c>
      <c r="D130" s="197">
        <v>3334</v>
      </c>
      <c r="E130" s="197">
        <v>6493</v>
      </c>
      <c r="F130" s="197">
        <v>123</v>
      </c>
      <c r="G130" s="197">
        <v>234</v>
      </c>
      <c r="H130" s="197">
        <v>9513</v>
      </c>
      <c r="J130" s="197">
        <v>3853</v>
      </c>
      <c r="K130" s="197">
        <v>4772</v>
      </c>
      <c r="L130" s="197">
        <v>4412</v>
      </c>
      <c r="M130" s="197">
        <v>-2024</v>
      </c>
      <c r="N130" s="197">
        <f t="shared" si="2"/>
        <v>2388</v>
      </c>
      <c r="O130" s="162">
        <f t="shared" si="3"/>
        <v>18138</v>
      </c>
    </row>
    <row r="131" spans="1:15" ht="13.8" x14ac:dyDescent="0.25">
      <c r="A131" s="192">
        <v>33203</v>
      </c>
      <c r="B131" s="194" t="s">
        <v>347</v>
      </c>
      <c r="C131" s="197">
        <v>-9502</v>
      </c>
      <c r="D131" s="197">
        <v>3831</v>
      </c>
      <c r="E131" s="197">
        <v>7460</v>
      </c>
      <c r="F131" s="197">
        <v>142</v>
      </c>
      <c r="G131" s="197">
        <v>0</v>
      </c>
      <c r="H131" s="197">
        <v>10930</v>
      </c>
      <c r="J131" s="197">
        <v>4427</v>
      </c>
      <c r="K131" s="197">
        <v>6640</v>
      </c>
      <c r="L131" s="197">
        <v>5069</v>
      </c>
      <c r="M131" s="197">
        <v>-2746</v>
      </c>
      <c r="N131" s="197">
        <f t="shared" si="2"/>
        <v>2323</v>
      </c>
      <c r="O131" s="162">
        <f t="shared" si="3"/>
        <v>21997</v>
      </c>
    </row>
    <row r="132" spans="1:15" ht="13.8" x14ac:dyDescent="0.25">
      <c r="A132" s="192">
        <v>33204</v>
      </c>
      <c r="B132" s="194" t="s">
        <v>348</v>
      </c>
      <c r="C132" s="197">
        <v>-14033</v>
      </c>
      <c r="D132" s="197">
        <v>5657</v>
      </c>
      <c r="E132" s="197">
        <v>11017</v>
      </c>
      <c r="F132" s="197">
        <v>209</v>
      </c>
      <c r="G132" s="197">
        <v>23</v>
      </c>
      <c r="H132" s="197">
        <v>16141</v>
      </c>
      <c r="J132" s="197">
        <v>6538</v>
      </c>
      <c r="K132" s="197">
        <v>3998</v>
      </c>
      <c r="L132" s="197">
        <v>7486</v>
      </c>
      <c r="M132" s="197">
        <v>-1353</v>
      </c>
      <c r="N132" s="197">
        <f t="shared" si="2"/>
        <v>6133</v>
      </c>
      <c r="O132" s="162">
        <f t="shared" si="3"/>
        <v>26677</v>
      </c>
    </row>
    <row r="133" spans="1:15" ht="13.8" x14ac:dyDescent="0.25">
      <c r="A133" s="192">
        <v>33205</v>
      </c>
      <c r="B133" s="194" t="s">
        <v>71</v>
      </c>
      <c r="C133" s="197">
        <v>-39379</v>
      </c>
      <c r="D133" s="197">
        <v>15876</v>
      </c>
      <c r="E133" s="197">
        <v>30915</v>
      </c>
      <c r="F133" s="197">
        <v>587</v>
      </c>
      <c r="G133" s="197">
        <v>4395</v>
      </c>
      <c r="H133" s="197">
        <v>45295</v>
      </c>
      <c r="J133" s="197">
        <v>18347</v>
      </c>
      <c r="K133" s="197">
        <v>1901</v>
      </c>
      <c r="L133" s="197">
        <v>21008</v>
      </c>
      <c r="M133" s="197">
        <v>1935</v>
      </c>
      <c r="N133" s="197">
        <f t="shared" ref="N133:N196" si="4">SUM(L133+M133)</f>
        <v>22943</v>
      </c>
      <c r="O133" s="162">
        <f t="shared" ref="O133:O196" si="5">SUM(H133:K133)</f>
        <v>65543</v>
      </c>
    </row>
    <row r="134" spans="1:15" ht="13.8" x14ac:dyDescent="0.25">
      <c r="A134" s="192">
        <v>33206</v>
      </c>
      <c r="B134" s="194" t="s">
        <v>349</v>
      </c>
      <c r="C134" s="197">
        <v>-3770</v>
      </c>
      <c r="D134" s="197">
        <v>1520</v>
      </c>
      <c r="E134" s="197">
        <v>2960</v>
      </c>
      <c r="F134" s="197">
        <v>56</v>
      </c>
      <c r="G134" s="197">
        <v>547</v>
      </c>
      <c r="H134" s="197">
        <v>4336</v>
      </c>
      <c r="J134" s="197">
        <v>1756</v>
      </c>
      <c r="K134" s="197">
        <v>439</v>
      </c>
      <c r="L134" s="197">
        <v>2011</v>
      </c>
      <c r="M134" s="197">
        <v>13</v>
      </c>
      <c r="N134" s="197">
        <f t="shared" si="4"/>
        <v>2024</v>
      </c>
      <c r="O134" s="162">
        <f t="shared" si="5"/>
        <v>6531</v>
      </c>
    </row>
    <row r="135" spans="1:15" ht="13.8" x14ac:dyDescent="0.25">
      <c r="A135" s="192">
        <v>33207</v>
      </c>
      <c r="B135" s="194" t="s">
        <v>350</v>
      </c>
      <c r="C135" s="197">
        <v>-15027</v>
      </c>
      <c r="D135" s="197">
        <v>6058</v>
      </c>
      <c r="E135" s="197">
        <v>11797</v>
      </c>
      <c r="F135" s="197">
        <v>224</v>
      </c>
      <c r="G135" s="197">
        <v>0</v>
      </c>
      <c r="H135" s="197">
        <v>17285</v>
      </c>
      <c r="J135" s="197">
        <v>7001</v>
      </c>
      <c r="K135" s="197">
        <v>13517</v>
      </c>
      <c r="L135" s="197">
        <v>8017</v>
      </c>
      <c r="M135" s="197">
        <v>-5510</v>
      </c>
      <c r="N135" s="197">
        <f t="shared" si="4"/>
        <v>2507</v>
      </c>
      <c r="O135" s="162">
        <f t="shared" si="5"/>
        <v>37803</v>
      </c>
    </row>
    <row r="136" spans="1:15" ht="13.8" x14ac:dyDescent="0.25">
      <c r="A136" s="193">
        <v>33209</v>
      </c>
      <c r="B136" s="195" t="s">
        <v>351</v>
      </c>
      <c r="C136" s="198">
        <v>0</v>
      </c>
      <c r="D136" s="198">
        <v>0</v>
      </c>
      <c r="E136" s="198">
        <v>0</v>
      </c>
      <c r="F136" s="198">
        <v>0</v>
      </c>
      <c r="G136" s="198">
        <v>4828</v>
      </c>
      <c r="H136" s="198">
        <v>0</v>
      </c>
      <c r="J136" s="198">
        <v>0</v>
      </c>
      <c r="K136" s="198">
        <v>518</v>
      </c>
      <c r="L136" s="198">
        <v>0</v>
      </c>
      <c r="M136" s="198">
        <v>651</v>
      </c>
      <c r="N136" s="197">
        <f t="shared" si="4"/>
        <v>651</v>
      </c>
      <c r="O136" s="162">
        <f t="shared" si="5"/>
        <v>518</v>
      </c>
    </row>
    <row r="137" spans="1:15" ht="13.8" x14ac:dyDescent="0.25">
      <c r="A137" s="193">
        <v>33300</v>
      </c>
      <c r="B137" s="195" t="s">
        <v>352</v>
      </c>
      <c r="C137" s="198">
        <v>-63936</v>
      </c>
      <c r="D137" s="198">
        <v>25775</v>
      </c>
      <c r="E137" s="198">
        <v>50194</v>
      </c>
      <c r="F137" s="198">
        <v>953</v>
      </c>
      <c r="G137" s="198">
        <v>5696</v>
      </c>
      <c r="H137" s="198">
        <v>73540</v>
      </c>
      <c r="J137" s="198">
        <v>29787</v>
      </c>
      <c r="K137" s="198">
        <v>3453</v>
      </c>
      <c r="L137" s="198">
        <v>34108</v>
      </c>
      <c r="M137" s="198">
        <v>-719</v>
      </c>
      <c r="N137" s="197">
        <f t="shared" si="4"/>
        <v>33389</v>
      </c>
      <c r="O137" s="162">
        <f t="shared" si="5"/>
        <v>106780</v>
      </c>
    </row>
    <row r="138" spans="1:15" ht="13.8" x14ac:dyDescent="0.25">
      <c r="A138" s="193">
        <v>33305</v>
      </c>
      <c r="B138" s="195" t="s">
        <v>72</v>
      </c>
      <c r="C138" s="198">
        <v>-13256</v>
      </c>
      <c r="D138" s="198">
        <v>5344</v>
      </c>
      <c r="E138" s="198">
        <v>10407</v>
      </c>
      <c r="F138" s="198">
        <v>198</v>
      </c>
      <c r="G138" s="198">
        <v>7184</v>
      </c>
      <c r="H138" s="198">
        <v>15247</v>
      </c>
      <c r="J138" s="198">
        <v>6176</v>
      </c>
      <c r="K138" s="198">
        <v>158</v>
      </c>
      <c r="L138" s="198">
        <v>7072</v>
      </c>
      <c r="M138" s="198">
        <v>2493</v>
      </c>
      <c r="N138" s="197">
        <f t="shared" si="4"/>
        <v>9565</v>
      </c>
      <c r="O138" s="162">
        <f t="shared" si="5"/>
        <v>21581</v>
      </c>
    </row>
    <row r="139" spans="1:15" ht="13.8" x14ac:dyDescent="0.25">
      <c r="A139" s="193">
        <v>33400</v>
      </c>
      <c r="B139" s="195" t="s">
        <v>353</v>
      </c>
      <c r="C139" s="198">
        <v>-617777</v>
      </c>
      <c r="D139" s="198">
        <v>249055</v>
      </c>
      <c r="E139" s="198">
        <v>484994</v>
      </c>
      <c r="F139" s="198">
        <v>9212</v>
      </c>
      <c r="G139" s="198">
        <v>19349</v>
      </c>
      <c r="H139" s="198">
        <v>710577</v>
      </c>
      <c r="J139" s="198">
        <v>287818</v>
      </c>
      <c r="K139" s="198">
        <v>18099</v>
      </c>
      <c r="L139" s="198">
        <v>329565</v>
      </c>
      <c r="M139" s="198">
        <v>-10824</v>
      </c>
      <c r="N139" s="197">
        <f t="shared" si="4"/>
        <v>318741</v>
      </c>
      <c r="O139" s="162">
        <f t="shared" si="5"/>
        <v>1016494</v>
      </c>
    </row>
    <row r="140" spans="1:15" ht="13.8" x14ac:dyDescent="0.25">
      <c r="A140" s="193">
        <v>33402</v>
      </c>
      <c r="B140" s="195" t="s">
        <v>354</v>
      </c>
      <c r="C140" s="198">
        <v>-5716</v>
      </c>
      <c r="D140" s="198">
        <v>2304</v>
      </c>
      <c r="E140" s="198">
        <v>4487</v>
      </c>
      <c r="F140" s="198">
        <v>85</v>
      </c>
      <c r="G140" s="198">
        <v>0</v>
      </c>
      <c r="H140" s="198">
        <v>6575</v>
      </c>
      <c r="J140" s="198">
        <v>2663</v>
      </c>
      <c r="K140" s="198">
        <v>1929</v>
      </c>
      <c r="L140" s="198">
        <v>3049</v>
      </c>
      <c r="M140" s="198">
        <v>-1030</v>
      </c>
      <c r="N140" s="197">
        <f t="shared" si="4"/>
        <v>2019</v>
      </c>
      <c r="O140" s="162">
        <f t="shared" si="5"/>
        <v>11167</v>
      </c>
    </row>
    <row r="141" spans="1:15" ht="13.8" x14ac:dyDescent="0.25">
      <c r="A141" s="193">
        <v>33405</v>
      </c>
      <c r="B141" s="195" t="s">
        <v>73</v>
      </c>
      <c r="C141" s="198">
        <v>-58918</v>
      </c>
      <c r="D141" s="198">
        <v>23752</v>
      </c>
      <c r="E141" s="198">
        <v>46254</v>
      </c>
      <c r="F141" s="198">
        <v>879</v>
      </c>
      <c r="G141" s="198">
        <v>5594</v>
      </c>
      <c r="H141" s="198">
        <v>67768</v>
      </c>
      <c r="J141" s="198">
        <v>27449</v>
      </c>
      <c r="K141" s="198">
        <v>5738</v>
      </c>
      <c r="L141" s="198">
        <v>31431</v>
      </c>
      <c r="M141" s="198">
        <v>2718</v>
      </c>
      <c r="N141" s="197">
        <f t="shared" si="4"/>
        <v>34149</v>
      </c>
      <c r="O141" s="162">
        <f t="shared" si="5"/>
        <v>100955</v>
      </c>
    </row>
    <row r="142" spans="1:15" ht="13.8" x14ac:dyDescent="0.25">
      <c r="A142" s="192">
        <v>33500</v>
      </c>
      <c r="B142" s="194" t="s">
        <v>355</v>
      </c>
      <c r="C142" s="197">
        <v>-85387</v>
      </c>
      <c r="D142" s="197">
        <v>34423</v>
      </c>
      <c r="E142" s="197">
        <v>67034</v>
      </c>
      <c r="F142" s="197">
        <v>1273</v>
      </c>
      <c r="G142" s="197">
        <v>4283</v>
      </c>
      <c r="H142" s="197">
        <v>98213</v>
      </c>
      <c r="J142" s="197">
        <v>39781</v>
      </c>
      <c r="K142" s="197">
        <v>2188</v>
      </c>
      <c r="L142" s="197">
        <v>45551</v>
      </c>
      <c r="M142" s="197">
        <v>472</v>
      </c>
      <c r="N142" s="197">
        <f t="shared" si="4"/>
        <v>46023</v>
      </c>
      <c r="O142" s="162">
        <f t="shared" si="5"/>
        <v>140182</v>
      </c>
    </row>
    <row r="143" spans="1:15" ht="13.8" x14ac:dyDescent="0.25">
      <c r="A143" s="192">
        <v>33501</v>
      </c>
      <c r="B143" s="194" t="s">
        <v>356</v>
      </c>
      <c r="C143" s="197">
        <v>-3589</v>
      </c>
      <c r="D143" s="197">
        <v>1447</v>
      </c>
      <c r="E143" s="197">
        <v>2818</v>
      </c>
      <c r="F143" s="197">
        <v>54</v>
      </c>
      <c r="G143" s="197">
        <v>22</v>
      </c>
      <c r="H143" s="197">
        <v>4128</v>
      </c>
      <c r="J143" s="197">
        <v>1672</v>
      </c>
      <c r="K143" s="197">
        <v>1351</v>
      </c>
      <c r="L143" s="197">
        <v>1915</v>
      </c>
      <c r="M143" s="197">
        <v>-442</v>
      </c>
      <c r="N143" s="197">
        <f t="shared" si="4"/>
        <v>1473</v>
      </c>
      <c r="O143" s="162">
        <f t="shared" si="5"/>
        <v>7151</v>
      </c>
    </row>
    <row r="144" spans="1:15" ht="13.8" x14ac:dyDescent="0.25">
      <c r="A144" s="192">
        <v>33600</v>
      </c>
      <c r="B144" s="194" t="s">
        <v>357</v>
      </c>
      <c r="C144" s="197">
        <v>-293167</v>
      </c>
      <c r="D144" s="197">
        <v>118189</v>
      </c>
      <c r="E144" s="197">
        <v>230154</v>
      </c>
      <c r="F144" s="197">
        <v>4372</v>
      </c>
      <c r="G144" s="197">
        <v>33826</v>
      </c>
      <c r="H144" s="197">
        <v>337205</v>
      </c>
      <c r="J144" s="197">
        <v>136584</v>
      </c>
      <c r="K144" s="197">
        <v>43071</v>
      </c>
      <c r="L144" s="197">
        <v>156395</v>
      </c>
      <c r="M144" s="197">
        <v>-5024</v>
      </c>
      <c r="N144" s="197">
        <f t="shared" si="4"/>
        <v>151371</v>
      </c>
      <c r="O144" s="162">
        <f t="shared" si="5"/>
        <v>516860</v>
      </c>
    </row>
    <row r="145" spans="1:15" ht="13.8" x14ac:dyDescent="0.25">
      <c r="A145" s="192">
        <v>33605</v>
      </c>
      <c r="B145" s="194" t="s">
        <v>74</v>
      </c>
      <c r="C145" s="197">
        <v>-37918</v>
      </c>
      <c r="D145" s="197">
        <v>15286</v>
      </c>
      <c r="E145" s="197">
        <v>29768</v>
      </c>
      <c r="F145" s="197">
        <v>565</v>
      </c>
      <c r="G145" s="197">
        <v>13624</v>
      </c>
      <c r="H145" s="197">
        <v>43613</v>
      </c>
      <c r="J145" s="197">
        <v>17666</v>
      </c>
      <c r="K145" s="197">
        <v>0</v>
      </c>
      <c r="L145" s="197">
        <v>20228</v>
      </c>
      <c r="M145" s="197">
        <v>6358</v>
      </c>
      <c r="N145" s="197">
        <f t="shared" si="4"/>
        <v>26586</v>
      </c>
      <c r="O145" s="162">
        <f t="shared" si="5"/>
        <v>61279</v>
      </c>
    </row>
    <row r="146" spans="1:15" ht="13.8" x14ac:dyDescent="0.25">
      <c r="A146" s="192">
        <v>33700</v>
      </c>
      <c r="B146" s="194" t="s">
        <v>358</v>
      </c>
      <c r="C146" s="197">
        <v>-19621</v>
      </c>
      <c r="D146" s="197">
        <v>7910</v>
      </c>
      <c r="E146" s="197">
        <v>15403</v>
      </c>
      <c r="F146" s="197">
        <v>293</v>
      </c>
      <c r="G146" s="197">
        <v>1303</v>
      </c>
      <c r="H146" s="197">
        <v>22568</v>
      </c>
      <c r="J146" s="197">
        <v>9141</v>
      </c>
      <c r="K146" s="197">
        <v>742</v>
      </c>
      <c r="L146" s="197">
        <v>10467</v>
      </c>
      <c r="M146" s="197">
        <v>459</v>
      </c>
      <c r="N146" s="197">
        <f t="shared" si="4"/>
        <v>10926</v>
      </c>
      <c r="O146" s="162">
        <f t="shared" si="5"/>
        <v>32451</v>
      </c>
    </row>
    <row r="147" spans="1:15" ht="13.8" x14ac:dyDescent="0.25">
      <c r="A147" s="192">
        <v>33800</v>
      </c>
      <c r="B147" s="194" t="s">
        <v>359</v>
      </c>
      <c r="C147" s="197">
        <v>-15939</v>
      </c>
      <c r="D147" s="197">
        <v>6426</v>
      </c>
      <c r="E147" s="197">
        <v>12514</v>
      </c>
      <c r="F147" s="197">
        <v>238</v>
      </c>
      <c r="G147" s="197">
        <v>3412</v>
      </c>
      <c r="H147" s="197">
        <v>18334</v>
      </c>
      <c r="J147" s="197">
        <v>7426</v>
      </c>
      <c r="K147" s="197">
        <v>1410</v>
      </c>
      <c r="L147" s="197">
        <v>8503</v>
      </c>
      <c r="M147" s="197">
        <v>561</v>
      </c>
      <c r="N147" s="197">
        <f t="shared" si="4"/>
        <v>9064</v>
      </c>
      <c r="O147" s="162">
        <f t="shared" si="5"/>
        <v>27170</v>
      </c>
    </row>
    <row r="148" spans="1:15" ht="13.8" x14ac:dyDescent="0.25">
      <c r="A148" s="193">
        <v>33900</v>
      </c>
      <c r="B148" s="195" t="s">
        <v>550</v>
      </c>
      <c r="C148" s="198">
        <v>-68970</v>
      </c>
      <c r="D148" s="198">
        <v>27805</v>
      </c>
      <c r="E148" s="198">
        <v>54146</v>
      </c>
      <c r="F148" s="198">
        <v>1028</v>
      </c>
      <c r="G148" s="198">
        <v>17358</v>
      </c>
      <c r="H148" s="198">
        <v>79330</v>
      </c>
      <c r="J148" s="198">
        <v>32133</v>
      </c>
      <c r="K148" s="198">
        <v>0</v>
      </c>
      <c r="L148" s="198">
        <v>36793</v>
      </c>
      <c r="M148" s="198">
        <v>6704</v>
      </c>
      <c r="N148" s="197">
        <f t="shared" si="4"/>
        <v>43497</v>
      </c>
      <c r="O148" s="162">
        <f t="shared" si="5"/>
        <v>111463</v>
      </c>
    </row>
    <row r="149" spans="1:15" ht="13.8" x14ac:dyDescent="0.25">
      <c r="A149" s="193">
        <v>34000</v>
      </c>
      <c r="B149" s="195" t="s">
        <v>361</v>
      </c>
      <c r="C149" s="198">
        <v>-38375</v>
      </c>
      <c r="D149" s="198">
        <v>15471</v>
      </c>
      <c r="E149" s="198">
        <v>30127</v>
      </c>
      <c r="F149" s="198">
        <v>572</v>
      </c>
      <c r="G149" s="198">
        <v>2681</v>
      </c>
      <c r="H149" s="198">
        <v>44140</v>
      </c>
      <c r="J149" s="198">
        <v>17879</v>
      </c>
      <c r="K149" s="198">
        <v>1597</v>
      </c>
      <c r="L149" s="198">
        <v>20472</v>
      </c>
      <c r="M149" s="198">
        <v>-591</v>
      </c>
      <c r="N149" s="197">
        <f t="shared" si="4"/>
        <v>19881</v>
      </c>
      <c r="O149" s="162">
        <f t="shared" si="5"/>
        <v>63616</v>
      </c>
    </row>
    <row r="150" spans="1:15" ht="13.8" x14ac:dyDescent="0.25">
      <c r="A150" s="193">
        <v>34100</v>
      </c>
      <c r="B150" s="195" t="s">
        <v>362</v>
      </c>
      <c r="C150" s="198">
        <v>-807737</v>
      </c>
      <c r="D150" s="198">
        <v>325636</v>
      </c>
      <c r="E150" s="198">
        <v>634125</v>
      </c>
      <c r="F150" s="198">
        <v>12045</v>
      </c>
      <c r="G150" s="198">
        <v>18895</v>
      </c>
      <c r="H150" s="198">
        <v>929072</v>
      </c>
      <c r="J150" s="198">
        <v>376319</v>
      </c>
      <c r="K150" s="198">
        <v>41793</v>
      </c>
      <c r="L150" s="198">
        <v>430903</v>
      </c>
      <c r="M150" s="198">
        <v>-13969</v>
      </c>
      <c r="N150" s="197">
        <f t="shared" si="4"/>
        <v>416934</v>
      </c>
      <c r="O150" s="162">
        <f t="shared" si="5"/>
        <v>1347184</v>
      </c>
    </row>
    <row r="151" spans="1:15" ht="13.8" x14ac:dyDescent="0.25">
      <c r="A151" s="193">
        <v>34105</v>
      </c>
      <c r="B151" s="195" t="s">
        <v>75</v>
      </c>
      <c r="C151" s="198">
        <v>-60818</v>
      </c>
      <c r="D151" s="198">
        <v>24518</v>
      </c>
      <c r="E151" s="198">
        <v>47746</v>
      </c>
      <c r="F151" s="198">
        <v>907</v>
      </c>
      <c r="G151" s="198">
        <v>22041</v>
      </c>
      <c r="H151" s="198">
        <v>69953</v>
      </c>
      <c r="J151" s="198">
        <v>28335</v>
      </c>
      <c r="K151" s="198">
        <v>0</v>
      </c>
      <c r="L151" s="198">
        <v>32444</v>
      </c>
      <c r="M151" s="198">
        <v>11875</v>
      </c>
      <c r="N151" s="197">
        <f t="shared" si="4"/>
        <v>44319</v>
      </c>
      <c r="O151" s="162">
        <f t="shared" si="5"/>
        <v>98288</v>
      </c>
    </row>
    <row r="152" spans="1:15" ht="13.8" x14ac:dyDescent="0.25">
      <c r="A152" s="193">
        <v>34200</v>
      </c>
      <c r="B152" s="195" t="s">
        <v>363</v>
      </c>
      <c r="C152" s="198">
        <v>-20888</v>
      </c>
      <c r="D152" s="198">
        <v>8421</v>
      </c>
      <c r="E152" s="198">
        <v>16399</v>
      </c>
      <c r="F152" s="198">
        <v>311</v>
      </c>
      <c r="G152" s="198">
        <v>11583</v>
      </c>
      <c r="H152" s="198">
        <v>24026</v>
      </c>
      <c r="J152" s="198">
        <v>9732</v>
      </c>
      <c r="K152" s="198">
        <v>2111</v>
      </c>
      <c r="L152" s="198">
        <v>11143</v>
      </c>
      <c r="M152" s="198">
        <v>3194</v>
      </c>
      <c r="N152" s="197">
        <f t="shared" si="4"/>
        <v>14337</v>
      </c>
      <c r="O152" s="162">
        <f t="shared" si="5"/>
        <v>35869</v>
      </c>
    </row>
    <row r="153" spans="1:15" ht="13.8" x14ac:dyDescent="0.25">
      <c r="A153" s="193">
        <v>34205</v>
      </c>
      <c r="B153" s="195" t="s">
        <v>76</v>
      </c>
      <c r="C153" s="198">
        <v>-8133</v>
      </c>
      <c r="D153" s="198">
        <v>3279</v>
      </c>
      <c r="E153" s="198">
        <v>6385</v>
      </c>
      <c r="F153" s="198">
        <v>121</v>
      </c>
      <c r="G153" s="198">
        <v>5485</v>
      </c>
      <c r="H153" s="198">
        <v>9354</v>
      </c>
      <c r="J153" s="198">
        <v>3789</v>
      </c>
      <c r="K153" s="198">
        <v>1163</v>
      </c>
      <c r="L153" s="198">
        <v>4339</v>
      </c>
      <c r="M153" s="198">
        <v>2560</v>
      </c>
      <c r="N153" s="197">
        <f t="shared" si="4"/>
        <v>6899</v>
      </c>
      <c r="O153" s="162">
        <f t="shared" si="5"/>
        <v>14306</v>
      </c>
    </row>
    <row r="154" spans="1:15" ht="13.8" x14ac:dyDescent="0.25">
      <c r="A154" s="192">
        <v>34220</v>
      </c>
      <c r="B154" s="194" t="s">
        <v>364</v>
      </c>
      <c r="C154" s="197">
        <v>-30592</v>
      </c>
      <c r="D154" s="197">
        <v>12333</v>
      </c>
      <c r="E154" s="197">
        <v>24016</v>
      </c>
      <c r="F154" s="197">
        <v>456</v>
      </c>
      <c r="G154" s="197">
        <v>5372</v>
      </c>
      <c r="H154" s="197">
        <v>35187</v>
      </c>
      <c r="J154" s="197">
        <v>14252</v>
      </c>
      <c r="K154" s="197">
        <v>154</v>
      </c>
      <c r="L154" s="197">
        <v>16320</v>
      </c>
      <c r="M154" s="197">
        <v>955</v>
      </c>
      <c r="N154" s="197">
        <f t="shared" si="4"/>
        <v>17275</v>
      </c>
      <c r="O154" s="162">
        <f t="shared" si="5"/>
        <v>49593</v>
      </c>
    </row>
    <row r="155" spans="1:15" ht="13.8" x14ac:dyDescent="0.25">
      <c r="A155" s="192">
        <v>34230</v>
      </c>
      <c r="B155" s="194" t="s">
        <v>365</v>
      </c>
      <c r="C155" s="197">
        <v>-10704</v>
      </c>
      <c r="D155" s="197">
        <v>4315</v>
      </c>
      <c r="E155" s="197">
        <v>8404</v>
      </c>
      <c r="F155" s="197">
        <v>160</v>
      </c>
      <c r="G155" s="197">
        <v>4911</v>
      </c>
      <c r="H155" s="197">
        <v>12312</v>
      </c>
      <c r="J155" s="197">
        <v>4987</v>
      </c>
      <c r="K155" s="197">
        <v>226</v>
      </c>
      <c r="L155" s="197">
        <v>5710</v>
      </c>
      <c r="M155" s="197">
        <v>1441</v>
      </c>
      <c r="N155" s="197">
        <f t="shared" si="4"/>
        <v>7151</v>
      </c>
      <c r="O155" s="162">
        <f t="shared" si="5"/>
        <v>17525</v>
      </c>
    </row>
    <row r="156" spans="1:15" ht="13.8" x14ac:dyDescent="0.25">
      <c r="A156" s="192">
        <v>34300</v>
      </c>
      <c r="B156" s="194" t="s">
        <v>366</v>
      </c>
      <c r="C156" s="197">
        <v>-189917</v>
      </c>
      <c r="D156" s="197">
        <v>76564</v>
      </c>
      <c r="E156" s="197">
        <v>149097</v>
      </c>
      <c r="F156" s="197">
        <v>2832</v>
      </c>
      <c r="G156" s="197">
        <v>10228</v>
      </c>
      <c r="H156" s="197">
        <v>218446</v>
      </c>
      <c r="J156" s="197">
        <v>88481</v>
      </c>
      <c r="K156" s="197">
        <v>9165</v>
      </c>
      <c r="L156" s="197">
        <v>101315</v>
      </c>
      <c r="M156" s="197">
        <v>-2359</v>
      </c>
      <c r="N156" s="197">
        <f t="shared" si="4"/>
        <v>98956</v>
      </c>
      <c r="O156" s="162">
        <f t="shared" si="5"/>
        <v>316092</v>
      </c>
    </row>
    <row r="157" spans="1:15" ht="13.8" x14ac:dyDescent="0.25">
      <c r="A157" s="192">
        <v>34400</v>
      </c>
      <c r="B157" s="194" t="s">
        <v>367</v>
      </c>
      <c r="C157" s="197">
        <v>-72934</v>
      </c>
      <c r="D157" s="197">
        <v>29403</v>
      </c>
      <c r="E157" s="197">
        <v>57258</v>
      </c>
      <c r="F157" s="197">
        <v>1088</v>
      </c>
      <c r="G157" s="197">
        <v>3215</v>
      </c>
      <c r="H157" s="197">
        <v>83890</v>
      </c>
      <c r="J157" s="197">
        <v>33980</v>
      </c>
      <c r="K157" s="197">
        <v>3312</v>
      </c>
      <c r="L157" s="197">
        <v>38908</v>
      </c>
      <c r="M157" s="197">
        <v>588</v>
      </c>
      <c r="N157" s="197">
        <f t="shared" si="4"/>
        <v>39496</v>
      </c>
      <c r="O157" s="162">
        <f t="shared" si="5"/>
        <v>121182</v>
      </c>
    </row>
    <row r="158" spans="1:15" ht="13.8" x14ac:dyDescent="0.25">
      <c r="A158" s="192">
        <v>34405</v>
      </c>
      <c r="B158" s="194" t="s">
        <v>77</v>
      </c>
      <c r="C158" s="197">
        <v>-12729</v>
      </c>
      <c r="D158" s="197">
        <v>5132</v>
      </c>
      <c r="E158" s="197">
        <v>9993</v>
      </c>
      <c r="F158" s="197">
        <v>190</v>
      </c>
      <c r="G158" s="197">
        <v>3173</v>
      </c>
      <c r="H158" s="197">
        <v>14641</v>
      </c>
      <c r="J158" s="197">
        <v>5930</v>
      </c>
      <c r="K158" s="197">
        <v>567</v>
      </c>
      <c r="L158" s="197">
        <v>6791</v>
      </c>
      <c r="M158" s="197">
        <v>892</v>
      </c>
      <c r="N158" s="197">
        <f t="shared" si="4"/>
        <v>7683</v>
      </c>
      <c r="O158" s="162">
        <f t="shared" si="5"/>
        <v>21138</v>
      </c>
    </row>
    <row r="159" spans="1:15" ht="13.8" x14ac:dyDescent="0.25">
      <c r="A159" s="192">
        <v>34500</v>
      </c>
      <c r="B159" s="194" t="s">
        <v>368</v>
      </c>
      <c r="C159" s="197">
        <v>-144489</v>
      </c>
      <c r="D159" s="197">
        <v>58250</v>
      </c>
      <c r="E159" s="197">
        <v>113433</v>
      </c>
      <c r="F159" s="197">
        <v>2155</v>
      </c>
      <c r="G159" s="197">
        <v>5055</v>
      </c>
      <c r="H159" s="197">
        <v>166194</v>
      </c>
      <c r="J159" s="197">
        <v>67317</v>
      </c>
      <c r="K159" s="197">
        <v>11181</v>
      </c>
      <c r="L159" s="197">
        <v>77080</v>
      </c>
      <c r="M159" s="197">
        <v>-5649</v>
      </c>
      <c r="N159" s="197">
        <f t="shared" si="4"/>
        <v>71431</v>
      </c>
      <c r="O159" s="162">
        <f t="shared" si="5"/>
        <v>244692</v>
      </c>
    </row>
    <row r="160" spans="1:15" ht="13.8" x14ac:dyDescent="0.25">
      <c r="A160" s="192">
        <v>34501</v>
      </c>
      <c r="B160" s="194" t="s">
        <v>369</v>
      </c>
      <c r="C160" s="197">
        <v>-2114</v>
      </c>
      <c r="D160" s="197">
        <v>852</v>
      </c>
      <c r="E160" s="197">
        <v>1660</v>
      </c>
      <c r="F160" s="197">
        <v>32</v>
      </c>
      <c r="G160" s="197">
        <v>266</v>
      </c>
      <c r="H160" s="197">
        <v>2431</v>
      </c>
      <c r="J160" s="197">
        <v>985</v>
      </c>
      <c r="K160" s="197">
        <v>594</v>
      </c>
      <c r="L160" s="197">
        <v>1128</v>
      </c>
      <c r="M160" s="197">
        <v>-363</v>
      </c>
      <c r="N160" s="197">
        <f t="shared" si="4"/>
        <v>765</v>
      </c>
      <c r="O160" s="162">
        <f t="shared" si="5"/>
        <v>4010</v>
      </c>
    </row>
    <row r="161" spans="1:15" ht="13.8" x14ac:dyDescent="0.25">
      <c r="A161" s="192">
        <v>34505</v>
      </c>
      <c r="B161" s="194" t="s">
        <v>78</v>
      </c>
      <c r="C161" s="197">
        <v>-22521</v>
      </c>
      <c r="D161" s="197">
        <v>9079</v>
      </c>
      <c r="E161" s="197">
        <v>17681</v>
      </c>
      <c r="F161" s="197">
        <v>336</v>
      </c>
      <c r="G161" s="197">
        <v>1849</v>
      </c>
      <c r="H161" s="197">
        <v>25904</v>
      </c>
      <c r="J161" s="197">
        <v>10493</v>
      </c>
      <c r="K161" s="197">
        <v>4178</v>
      </c>
      <c r="L161" s="197">
        <v>12014</v>
      </c>
      <c r="M161" s="197">
        <v>-915</v>
      </c>
      <c r="N161" s="197">
        <f t="shared" si="4"/>
        <v>11099</v>
      </c>
      <c r="O161" s="162">
        <f t="shared" si="5"/>
        <v>40575</v>
      </c>
    </row>
    <row r="162" spans="1:15" ht="13.8" x14ac:dyDescent="0.25">
      <c r="A162" s="192">
        <v>34600</v>
      </c>
      <c r="B162" s="194" t="s">
        <v>370</v>
      </c>
      <c r="C162" s="197">
        <v>-30374</v>
      </c>
      <c r="D162" s="197">
        <v>12245</v>
      </c>
      <c r="E162" s="197">
        <v>23846</v>
      </c>
      <c r="F162" s="197">
        <v>453</v>
      </c>
      <c r="G162" s="197">
        <v>9606</v>
      </c>
      <c r="H162" s="197">
        <v>34937</v>
      </c>
      <c r="J162" s="197">
        <v>14151</v>
      </c>
      <c r="K162" s="197">
        <v>338</v>
      </c>
      <c r="L162" s="197">
        <v>16204</v>
      </c>
      <c r="M162" s="197">
        <v>3806</v>
      </c>
      <c r="N162" s="197">
        <f t="shared" si="4"/>
        <v>20010</v>
      </c>
      <c r="O162" s="162">
        <f t="shared" si="5"/>
        <v>49426</v>
      </c>
    </row>
    <row r="163" spans="1:15" ht="13.8" x14ac:dyDescent="0.25">
      <c r="A163" s="192">
        <v>34605</v>
      </c>
      <c r="B163" s="194" t="s">
        <v>79</v>
      </c>
      <c r="C163" s="197">
        <v>-5864</v>
      </c>
      <c r="D163" s="197">
        <v>2364</v>
      </c>
      <c r="E163" s="197">
        <v>4604</v>
      </c>
      <c r="F163" s="197">
        <v>87</v>
      </c>
      <c r="G163" s="197">
        <v>2822</v>
      </c>
      <c r="H163" s="197">
        <v>6745</v>
      </c>
      <c r="J163" s="197">
        <v>2732</v>
      </c>
      <c r="K163" s="197">
        <v>196</v>
      </c>
      <c r="L163" s="197">
        <v>3128</v>
      </c>
      <c r="M163" s="197">
        <v>923</v>
      </c>
      <c r="N163" s="197">
        <f t="shared" si="4"/>
        <v>4051</v>
      </c>
      <c r="O163" s="162">
        <f t="shared" si="5"/>
        <v>9673</v>
      </c>
    </row>
    <row r="164" spans="1:15" ht="13.8" x14ac:dyDescent="0.25">
      <c r="A164" s="192">
        <v>34700</v>
      </c>
      <c r="B164" s="194" t="s">
        <v>371</v>
      </c>
      <c r="C164" s="197">
        <v>-95120</v>
      </c>
      <c r="D164" s="197">
        <v>38347</v>
      </c>
      <c r="E164" s="197">
        <v>74675</v>
      </c>
      <c r="F164" s="197">
        <v>1418</v>
      </c>
      <c r="G164" s="197">
        <v>354</v>
      </c>
      <c r="H164" s="197">
        <v>109408</v>
      </c>
      <c r="J164" s="197">
        <v>44316</v>
      </c>
      <c r="K164" s="197">
        <v>18393</v>
      </c>
      <c r="L164" s="197">
        <v>50744</v>
      </c>
      <c r="M164" s="197">
        <v>-9101</v>
      </c>
      <c r="N164" s="197">
        <f t="shared" si="4"/>
        <v>41643</v>
      </c>
      <c r="O164" s="162">
        <f t="shared" si="5"/>
        <v>172117</v>
      </c>
    </row>
    <row r="165" spans="1:15" ht="13.8" x14ac:dyDescent="0.25">
      <c r="A165" s="192">
        <v>34800</v>
      </c>
      <c r="B165" s="194" t="s">
        <v>372</v>
      </c>
      <c r="C165" s="197">
        <v>-8890</v>
      </c>
      <c r="D165" s="197">
        <v>3584</v>
      </c>
      <c r="E165" s="197">
        <v>6979</v>
      </c>
      <c r="F165" s="197">
        <v>133</v>
      </c>
      <c r="G165" s="197">
        <v>3772</v>
      </c>
      <c r="H165" s="197">
        <v>10225</v>
      </c>
      <c r="J165" s="197">
        <v>4142</v>
      </c>
      <c r="K165" s="197">
        <v>0</v>
      </c>
      <c r="L165" s="197">
        <v>4743</v>
      </c>
      <c r="M165" s="197">
        <v>1253</v>
      </c>
      <c r="N165" s="197">
        <f t="shared" si="4"/>
        <v>5996</v>
      </c>
      <c r="O165" s="162">
        <f t="shared" si="5"/>
        <v>14367</v>
      </c>
    </row>
    <row r="166" spans="1:15" ht="13.8" x14ac:dyDescent="0.25">
      <c r="A166" s="193">
        <v>34900</v>
      </c>
      <c r="B166" s="196" t="s">
        <v>373</v>
      </c>
      <c r="C166" s="198">
        <v>-212093</v>
      </c>
      <c r="D166" s="198">
        <v>85504</v>
      </c>
      <c r="E166" s="198">
        <v>166506</v>
      </c>
      <c r="F166" s="198">
        <v>3163</v>
      </c>
      <c r="G166" s="198">
        <v>5681</v>
      </c>
      <c r="H166" s="198">
        <v>243952</v>
      </c>
      <c r="J166" s="198">
        <v>98813</v>
      </c>
      <c r="K166" s="198">
        <v>9490</v>
      </c>
      <c r="L166" s="198">
        <v>113145</v>
      </c>
      <c r="M166" s="198">
        <v>-379</v>
      </c>
      <c r="N166" s="197">
        <f t="shared" si="4"/>
        <v>112766</v>
      </c>
      <c r="O166" s="162">
        <f t="shared" si="5"/>
        <v>352255</v>
      </c>
    </row>
    <row r="167" spans="1:15" ht="13.8" x14ac:dyDescent="0.25">
      <c r="A167" s="193">
        <v>34901</v>
      </c>
      <c r="B167" s="195" t="s">
        <v>374</v>
      </c>
      <c r="C167" s="198">
        <v>-6335</v>
      </c>
      <c r="D167" s="198">
        <v>2554</v>
      </c>
      <c r="E167" s="198">
        <v>4973</v>
      </c>
      <c r="F167" s="198">
        <v>94</v>
      </c>
      <c r="G167" s="198">
        <v>79</v>
      </c>
      <c r="H167" s="198">
        <v>7287</v>
      </c>
      <c r="J167" s="198">
        <v>2951</v>
      </c>
      <c r="K167" s="198">
        <v>1587</v>
      </c>
      <c r="L167" s="198">
        <v>3380</v>
      </c>
      <c r="M167" s="198">
        <v>-702</v>
      </c>
      <c r="N167" s="197">
        <f t="shared" si="4"/>
        <v>2678</v>
      </c>
      <c r="O167" s="162">
        <f t="shared" si="5"/>
        <v>11825</v>
      </c>
    </row>
    <row r="168" spans="1:15" ht="13.8" x14ac:dyDescent="0.25">
      <c r="A168" s="193">
        <v>34903</v>
      </c>
      <c r="B168" s="195" t="s">
        <v>375</v>
      </c>
      <c r="C168" s="198">
        <v>-882</v>
      </c>
      <c r="D168" s="198">
        <v>356</v>
      </c>
      <c r="E168" s="198">
        <v>693</v>
      </c>
      <c r="F168" s="198">
        <v>13</v>
      </c>
      <c r="G168" s="198">
        <v>209</v>
      </c>
      <c r="H168" s="198">
        <v>1015</v>
      </c>
      <c r="J168" s="198">
        <v>411</v>
      </c>
      <c r="K168" s="198">
        <v>333</v>
      </c>
      <c r="L168" s="198">
        <v>471</v>
      </c>
      <c r="M168" s="198">
        <v>65</v>
      </c>
      <c r="N168" s="197">
        <f t="shared" si="4"/>
        <v>536</v>
      </c>
      <c r="O168" s="162">
        <f t="shared" si="5"/>
        <v>1759</v>
      </c>
    </row>
    <row r="169" spans="1:15" ht="13.8" x14ac:dyDescent="0.25">
      <c r="A169" s="193">
        <v>34905</v>
      </c>
      <c r="B169" s="195" t="s">
        <v>80</v>
      </c>
      <c r="C169" s="198">
        <v>-17454</v>
      </c>
      <c r="D169" s="198">
        <v>7037</v>
      </c>
      <c r="E169" s="198">
        <v>13703</v>
      </c>
      <c r="F169" s="198">
        <v>260</v>
      </c>
      <c r="G169" s="198">
        <v>4259</v>
      </c>
      <c r="H169" s="198">
        <v>20076</v>
      </c>
      <c r="J169" s="198">
        <v>8132</v>
      </c>
      <c r="K169" s="198">
        <v>0</v>
      </c>
      <c r="L169" s="198">
        <v>9311</v>
      </c>
      <c r="M169" s="198">
        <v>1974</v>
      </c>
      <c r="N169" s="197">
        <f t="shared" si="4"/>
        <v>11285</v>
      </c>
      <c r="O169" s="162">
        <f t="shared" si="5"/>
        <v>28208</v>
      </c>
    </row>
    <row r="170" spans="1:15" ht="13.8" x14ac:dyDescent="0.25">
      <c r="A170" s="193">
        <v>34910</v>
      </c>
      <c r="B170" s="195" t="s">
        <v>376</v>
      </c>
      <c r="C170" s="198">
        <v>-66106</v>
      </c>
      <c r="D170" s="198">
        <v>26650</v>
      </c>
      <c r="E170" s="198">
        <v>51897</v>
      </c>
      <c r="F170" s="198">
        <v>986</v>
      </c>
      <c r="G170" s="198">
        <v>1506</v>
      </c>
      <c r="H170" s="198">
        <v>76036</v>
      </c>
      <c r="J170" s="198">
        <v>30798</v>
      </c>
      <c r="K170" s="198">
        <v>3564</v>
      </c>
      <c r="L170" s="198">
        <v>35265</v>
      </c>
      <c r="M170" s="198">
        <v>-872</v>
      </c>
      <c r="N170" s="197">
        <f t="shared" si="4"/>
        <v>34393</v>
      </c>
      <c r="O170" s="162">
        <f t="shared" si="5"/>
        <v>110398</v>
      </c>
    </row>
    <row r="171" spans="1:15" ht="13.8" x14ac:dyDescent="0.25">
      <c r="A171" s="193">
        <v>35000</v>
      </c>
      <c r="B171" s="195" t="s">
        <v>377</v>
      </c>
      <c r="C171" s="198">
        <v>-45217</v>
      </c>
      <c r="D171" s="198">
        <v>18229</v>
      </c>
      <c r="E171" s="198">
        <v>35498</v>
      </c>
      <c r="F171" s="198">
        <v>674</v>
      </c>
      <c r="G171" s="198">
        <v>305</v>
      </c>
      <c r="H171" s="198">
        <v>52010</v>
      </c>
      <c r="J171" s="198">
        <v>21066</v>
      </c>
      <c r="K171" s="198">
        <v>5090</v>
      </c>
      <c r="L171" s="198">
        <v>24122</v>
      </c>
      <c r="M171" s="198">
        <v>-3092</v>
      </c>
      <c r="N171" s="197">
        <f t="shared" si="4"/>
        <v>21030</v>
      </c>
      <c r="O171" s="162">
        <f t="shared" si="5"/>
        <v>78166</v>
      </c>
    </row>
    <row r="172" spans="1:15" ht="13.8" x14ac:dyDescent="0.25">
      <c r="A172" s="192">
        <v>35005</v>
      </c>
      <c r="B172" s="194" t="s">
        <v>81</v>
      </c>
      <c r="C172" s="197">
        <v>-16177</v>
      </c>
      <c r="D172" s="197">
        <v>6522</v>
      </c>
      <c r="E172" s="197">
        <v>12700</v>
      </c>
      <c r="F172" s="197">
        <v>241</v>
      </c>
      <c r="G172" s="197">
        <v>4795</v>
      </c>
      <c r="H172" s="197">
        <v>18607</v>
      </c>
      <c r="J172" s="197">
        <v>7537</v>
      </c>
      <c r="K172" s="197">
        <v>0</v>
      </c>
      <c r="L172" s="197">
        <v>8630</v>
      </c>
      <c r="M172" s="197">
        <v>2059</v>
      </c>
      <c r="N172" s="197">
        <f t="shared" si="4"/>
        <v>10689</v>
      </c>
      <c r="O172" s="162">
        <f t="shared" si="5"/>
        <v>26144</v>
      </c>
    </row>
    <row r="173" spans="1:15" ht="13.8" x14ac:dyDescent="0.25">
      <c r="A173" s="192">
        <v>35100</v>
      </c>
      <c r="B173" s="194" t="s">
        <v>378</v>
      </c>
      <c r="C173" s="197">
        <v>-381451</v>
      </c>
      <c r="D173" s="197">
        <v>153781</v>
      </c>
      <c r="E173" s="197">
        <v>299463</v>
      </c>
      <c r="F173" s="197">
        <v>5688</v>
      </c>
      <c r="G173" s="197">
        <v>8468</v>
      </c>
      <c r="H173" s="197">
        <v>438751</v>
      </c>
      <c r="J173" s="197">
        <v>177715</v>
      </c>
      <c r="K173" s="197">
        <v>29786</v>
      </c>
      <c r="L173" s="197">
        <v>203492</v>
      </c>
      <c r="M173" s="197">
        <v>-16704</v>
      </c>
      <c r="N173" s="197">
        <f t="shared" si="4"/>
        <v>186788</v>
      </c>
      <c r="O173" s="162">
        <f t="shared" si="5"/>
        <v>646252</v>
      </c>
    </row>
    <row r="174" spans="1:15" ht="13.8" x14ac:dyDescent="0.25">
      <c r="A174" s="192">
        <v>35105</v>
      </c>
      <c r="B174" s="194" t="s">
        <v>82</v>
      </c>
      <c r="C174" s="197">
        <v>-33476</v>
      </c>
      <c r="D174" s="197">
        <v>13496</v>
      </c>
      <c r="E174" s="197">
        <v>26281</v>
      </c>
      <c r="F174" s="197">
        <v>499</v>
      </c>
      <c r="G174" s="197">
        <v>2364</v>
      </c>
      <c r="H174" s="197">
        <v>38504</v>
      </c>
      <c r="J174" s="197">
        <v>15596</v>
      </c>
      <c r="K174" s="197">
        <v>2019</v>
      </c>
      <c r="L174" s="197">
        <v>17858</v>
      </c>
      <c r="M174" s="197">
        <v>536</v>
      </c>
      <c r="N174" s="197">
        <f t="shared" si="4"/>
        <v>18394</v>
      </c>
      <c r="O174" s="162">
        <f t="shared" si="5"/>
        <v>56119</v>
      </c>
    </row>
    <row r="175" spans="1:15" ht="13.8" x14ac:dyDescent="0.25">
      <c r="A175" s="192">
        <v>35106</v>
      </c>
      <c r="B175" s="194" t="s">
        <v>379</v>
      </c>
      <c r="C175" s="197">
        <v>-6839</v>
      </c>
      <c r="D175" s="197">
        <v>2757</v>
      </c>
      <c r="E175" s="197">
        <v>5369</v>
      </c>
      <c r="F175" s="197">
        <v>102</v>
      </c>
      <c r="G175" s="197">
        <v>494</v>
      </c>
      <c r="H175" s="197">
        <v>7866</v>
      </c>
      <c r="J175" s="197">
        <v>3186</v>
      </c>
      <c r="K175" s="197">
        <v>768</v>
      </c>
      <c r="L175" s="197">
        <v>3648</v>
      </c>
      <c r="M175" s="197">
        <v>-283</v>
      </c>
      <c r="N175" s="197">
        <f t="shared" si="4"/>
        <v>3365</v>
      </c>
      <c r="O175" s="162">
        <f t="shared" si="5"/>
        <v>11820</v>
      </c>
    </row>
    <row r="176" spans="1:15" ht="13.8" x14ac:dyDescent="0.25">
      <c r="A176" s="192">
        <v>35200</v>
      </c>
      <c r="B176" s="194" t="s">
        <v>380</v>
      </c>
      <c r="C176" s="197">
        <v>-14096</v>
      </c>
      <c r="D176" s="197">
        <v>5683</v>
      </c>
      <c r="E176" s="197">
        <v>11066</v>
      </c>
      <c r="F176" s="197">
        <v>210</v>
      </c>
      <c r="G176" s="197">
        <v>4086</v>
      </c>
      <c r="H176" s="197">
        <v>16213</v>
      </c>
      <c r="J176" s="197">
        <v>6567</v>
      </c>
      <c r="K176" s="197">
        <v>101</v>
      </c>
      <c r="L176" s="197">
        <v>7520</v>
      </c>
      <c r="M176" s="197">
        <v>1772</v>
      </c>
      <c r="N176" s="197">
        <f t="shared" si="4"/>
        <v>9292</v>
      </c>
      <c r="O176" s="162">
        <f t="shared" si="5"/>
        <v>22881</v>
      </c>
    </row>
    <row r="177" spans="1:15" ht="13.8" x14ac:dyDescent="0.25">
      <c r="A177" s="192">
        <v>35300</v>
      </c>
      <c r="B177" s="194" t="s">
        <v>381</v>
      </c>
      <c r="C177" s="197">
        <v>-105808</v>
      </c>
      <c r="D177" s="197">
        <v>42656</v>
      </c>
      <c r="E177" s="197">
        <v>83066</v>
      </c>
      <c r="F177" s="197">
        <v>1578</v>
      </c>
      <c r="G177" s="197">
        <v>11806</v>
      </c>
      <c r="H177" s="197">
        <v>121702</v>
      </c>
      <c r="J177" s="197">
        <v>49295</v>
      </c>
      <c r="K177" s="197">
        <v>11947</v>
      </c>
      <c r="L177" s="197">
        <v>56445</v>
      </c>
      <c r="M177" s="197">
        <v>-3723</v>
      </c>
      <c r="N177" s="197">
        <f t="shared" si="4"/>
        <v>52722</v>
      </c>
      <c r="O177" s="162">
        <f t="shared" si="5"/>
        <v>182944</v>
      </c>
    </row>
    <row r="178" spans="1:15" ht="13.8" x14ac:dyDescent="0.25">
      <c r="A178" s="193">
        <v>35305</v>
      </c>
      <c r="B178" s="195" t="s">
        <v>83</v>
      </c>
      <c r="C178" s="198">
        <v>-40749</v>
      </c>
      <c r="D178" s="198">
        <v>16428</v>
      </c>
      <c r="E178" s="198">
        <v>31991</v>
      </c>
      <c r="F178" s="198">
        <v>608</v>
      </c>
      <c r="G178" s="198">
        <v>4350</v>
      </c>
      <c r="H178" s="198">
        <v>46870</v>
      </c>
      <c r="J178" s="198">
        <v>18985</v>
      </c>
      <c r="K178" s="198">
        <v>4702</v>
      </c>
      <c r="L178" s="198">
        <v>21738</v>
      </c>
      <c r="M178" s="198">
        <v>59</v>
      </c>
      <c r="N178" s="197">
        <f t="shared" si="4"/>
        <v>21797</v>
      </c>
      <c r="O178" s="162">
        <f t="shared" si="5"/>
        <v>70557</v>
      </c>
    </row>
    <row r="179" spans="1:15" ht="13.8" x14ac:dyDescent="0.25">
      <c r="A179" s="193">
        <v>35400</v>
      </c>
      <c r="B179" s="195" t="s">
        <v>382</v>
      </c>
      <c r="C179" s="198">
        <v>-90151</v>
      </c>
      <c r="D179" s="198">
        <v>36344</v>
      </c>
      <c r="E179" s="198">
        <v>70775</v>
      </c>
      <c r="F179" s="198">
        <v>1344</v>
      </c>
      <c r="G179" s="198">
        <v>2978</v>
      </c>
      <c r="H179" s="198">
        <v>103694</v>
      </c>
      <c r="J179" s="198">
        <v>42001</v>
      </c>
      <c r="K179" s="198">
        <v>7536</v>
      </c>
      <c r="L179" s="198">
        <v>48093</v>
      </c>
      <c r="M179" s="198">
        <v>-4493</v>
      </c>
      <c r="N179" s="197">
        <f t="shared" si="4"/>
        <v>43600</v>
      </c>
      <c r="O179" s="162">
        <f t="shared" si="5"/>
        <v>153231</v>
      </c>
    </row>
    <row r="180" spans="1:15" ht="13.8" x14ac:dyDescent="0.25">
      <c r="A180" s="193">
        <v>35401</v>
      </c>
      <c r="B180" s="195" t="s">
        <v>383</v>
      </c>
      <c r="C180" s="198">
        <v>-685</v>
      </c>
      <c r="D180" s="198">
        <v>276</v>
      </c>
      <c r="E180" s="198">
        <v>538</v>
      </c>
      <c r="F180" s="198">
        <v>10</v>
      </c>
      <c r="G180" s="198">
        <v>337</v>
      </c>
      <c r="H180" s="198">
        <v>788</v>
      </c>
      <c r="J180" s="198">
        <v>319</v>
      </c>
      <c r="K180" s="198">
        <v>739</v>
      </c>
      <c r="L180" s="198">
        <v>365</v>
      </c>
      <c r="M180" s="198">
        <v>79</v>
      </c>
      <c r="N180" s="197">
        <f t="shared" si="4"/>
        <v>444</v>
      </c>
      <c r="O180" s="162">
        <f t="shared" si="5"/>
        <v>1846</v>
      </c>
    </row>
    <row r="181" spans="1:15" ht="13.8" x14ac:dyDescent="0.25">
      <c r="A181" s="193">
        <v>35405</v>
      </c>
      <c r="B181" s="195" t="s">
        <v>84</v>
      </c>
      <c r="C181" s="198">
        <v>-23559</v>
      </c>
      <c r="D181" s="198">
        <v>9498</v>
      </c>
      <c r="E181" s="198">
        <v>18495</v>
      </c>
      <c r="F181" s="198">
        <v>351</v>
      </c>
      <c r="G181" s="198">
        <v>4548</v>
      </c>
      <c r="H181" s="198">
        <v>27097</v>
      </c>
      <c r="J181" s="198">
        <v>10976</v>
      </c>
      <c r="K181" s="198">
        <v>829</v>
      </c>
      <c r="L181" s="198">
        <v>12568</v>
      </c>
      <c r="M181" s="198">
        <v>1694</v>
      </c>
      <c r="N181" s="197">
        <f t="shared" si="4"/>
        <v>14262</v>
      </c>
      <c r="O181" s="162">
        <f t="shared" si="5"/>
        <v>38902</v>
      </c>
    </row>
    <row r="182" spans="1:15" ht="13.8" x14ac:dyDescent="0.25">
      <c r="A182" s="193">
        <v>35500</v>
      </c>
      <c r="B182" s="195" t="s">
        <v>384</v>
      </c>
      <c r="C182" s="198">
        <v>-117470</v>
      </c>
      <c r="D182" s="198">
        <v>47358</v>
      </c>
      <c r="E182" s="198">
        <v>92221</v>
      </c>
      <c r="F182" s="198">
        <v>1752</v>
      </c>
      <c r="G182" s="198">
        <v>7478</v>
      </c>
      <c r="H182" s="198">
        <v>135116</v>
      </c>
      <c r="J182" s="198">
        <v>54729</v>
      </c>
      <c r="K182" s="198">
        <v>4611</v>
      </c>
      <c r="L182" s="198">
        <v>62667</v>
      </c>
      <c r="M182" s="198">
        <v>-193</v>
      </c>
      <c r="N182" s="197">
        <f t="shared" si="4"/>
        <v>62474</v>
      </c>
      <c r="O182" s="162">
        <f t="shared" si="5"/>
        <v>194456</v>
      </c>
    </row>
    <row r="183" spans="1:15" ht="13.8" x14ac:dyDescent="0.25">
      <c r="A183" s="193">
        <v>35600</v>
      </c>
      <c r="B183" s="195" t="s">
        <v>385</v>
      </c>
      <c r="C183" s="198">
        <v>-52263</v>
      </c>
      <c r="D183" s="198">
        <v>21070</v>
      </c>
      <c r="E183" s="198">
        <v>41030</v>
      </c>
      <c r="F183" s="198">
        <v>779</v>
      </c>
      <c r="G183" s="198">
        <v>3512</v>
      </c>
      <c r="H183" s="198">
        <v>60114</v>
      </c>
      <c r="J183" s="198">
        <v>24349</v>
      </c>
      <c r="K183" s="198">
        <v>6197</v>
      </c>
      <c r="L183" s="198">
        <v>27881</v>
      </c>
      <c r="M183" s="198">
        <v>-1284</v>
      </c>
      <c r="N183" s="197">
        <f t="shared" si="4"/>
        <v>26597</v>
      </c>
      <c r="O183" s="162">
        <f t="shared" si="5"/>
        <v>90660</v>
      </c>
    </row>
    <row r="184" spans="1:15" ht="13.8" x14ac:dyDescent="0.25">
      <c r="A184" s="192">
        <v>35700</v>
      </c>
      <c r="B184" s="194" t="s">
        <v>386</v>
      </c>
      <c r="C184" s="197">
        <v>-27012</v>
      </c>
      <c r="D184" s="197">
        <v>10890</v>
      </c>
      <c r="E184" s="197">
        <v>21207</v>
      </c>
      <c r="F184" s="197">
        <v>403</v>
      </c>
      <c r="G184" s="197">
        <v>3609</v>
      </c>
      <c r="H184" s="197">
        <v>31070</v>
      </c>
      <c r="J184" s="197">
        <v>12585</v>
      </c>
      <c r="K184" s="197">
        <v>455</v>
      </c>
      <c r="L184" s="197">
        <v>14410</v>
      </c>
      <c r="M184" s="197">
        <v>939</v>
      </c>
      <c r="N184" s="197">
        <f t="shared" si="4"/>
        <v>15349</v>
      </c>
      <c r="O184" s="162">
        <f t="shared" si="5"/>
        <v>44110</v>
      </c>
    </row>
    <row r="185" spans="1:15" ht="13.8" x14ac:dyDescent="0.25">
      <c r="A185" s="192">
        <v>35800</v>
      </c>
      <c r="B185" s="194" t="s">
        <v>387</v>
      </c>
      <c r="C185" s="197">
        <v>-32258</v>
      </c>
      <c r="D185" s="197">
        <v>13005</v>
      </c>
      <c r="E185" s="197">
        <v>25324</v>
      </c>
      <c r="F185" s="197">
        <v>481</v>
      </c>
      <c r="G185" s="197">
        <v>8484</v>
      </c>
      <c r="H185" s="197">
        <v>37103</v>
      </c>
      <c r="J185" s="197">
        <v>15029</v>
      </c>
      <c r="K185" s="197">
        <v>0</v>
      </c>
      <c r="L185" s="197">
        <v>17208</v>
      </c>
      <c r="M185" s="197">
        <v>3968</v>
      </c>
      <c r="N185" s="197">
        <f t="shared" si="4"/>
        <v>21176</v>
      </c>
      <c r="O185" s="162">
        <f t="shared" si="5"/>
        <v>52132</v>
      </c>
    </row>
    <row r="186" spans="1:15" ht="13.8" x14ac:dyDescent="0.25">
      <c r="A186" s="192">
        <v>35805</v>
      </c>
      <c r="B186" s="194" t="s">
        <v>85</v>
      </c>
      <c r="C186" s="197">
        <v>-6513</v>
      </c>
      <c r="D186" s="197">
        <v>2626</v>
      </c>
      <c r="E186" s="197">
        <v>5113</v>
      </c>
      <c r="F186" s="197">
        <v>97</v>
      </c>
      <c r="G186" s="197">
        <v>2721</v>
      </c>
      <c r="H186" s="197">
        <v>7491</v>
      </c>
      <c r="J186" s="197">
        <v>3034</v>
      </c>
      <c r="K186" s="197">
        <v>390</v>
      </c>
      <c r="L186" s="197">
        <v>3474</v>
      </c>
      <c r="M186" s="197">
        <v>1329</v>
      </c>
      <c r="N186" s="197">
        <f t="shared" si="4"/>
        <v>4803</v>
      </c>
      <c r="O186" s="162">
        <f t="shared" si="5"/>
        <v>10915</v>
      </c>
    </row>
    <row r="187" spans="1:15" ht="13.8" x14ac:dyDescent="0.25">
      <c r="A187" s="192">
        <v>35900</v>
      </c>
      <c r="B187" s="194" t="s">
        <v>388</v>
      </c>
      <c r="C187" s="197">
        <v>-62207</v>
      </c>
      <c r="D187" s="197">
        <v>25079</v>
      </c>
      <c r="E187" s="197">
        <v>48837</v>
      </c>
      <c r="F187" s="197">
        <v>928</v>
      </c>
      <c r="G187" s="197">
        <v>11136</v>
      </c>
      <c r="H187" s="197">
        <v>71552</v>
      </c>
      <c r="J187" s="197">
        <v>28982</v>
      </c>
      <c r="K187" s="197">
        <v>0</v>
      </c>
      <c r="L187" s="197">
        <v>33186</v>
      </c>
      <c r="M187" s="197">
        <v>4097</v>
      </c>
      <c r="N187" s="197">
        <f t="shared" si="4"/>
        <v>37283</v>
      </c>
      <c r="O187" s="162">
        <f t="shared" si="5"/>
        <v>100534</v>
      </c>
    </row>
    <row r="188" spans="1:15" ht="13.8" x14ac:dyDescent="0.25">
      <c r="A188" s="192">
        <v>35905</v>
      </c>
      <c r="B188" s="194" t="s">
        <v>86</v>
      </c>
      <c r="C188" s="197">
        <v>-9759</v>
      </c>
      <c r="D188" s="197">
        <v>3934</v>
      </c>
      <c r="E188" s="197">
        <v>7662</v>
      </c>
      <c r="F188" s="197">
        <v>146</v>
      </c>
      <c r="G188" s="197">
        <v>3766</v>
      </c>
      <c r="H188" s="197">
        <v>11225</v>
      </c>
      <c r="J188" s="197">
        <v>4547</v>
      </c>
      <c r="K188" s="197">
        <v>179</v>
      </c>
      <c r="L188" s="197">
        <v>5206</v>
      </c>
      <c r="M188" s="197">
        <v>1787</v>
      </c>
      <c r="N188" s="197">
        <f t="shared" si="4"/>
        <v>6993</v>
      </c>
      <c r="O188" s="162">
        <f t="shared" si="5"/>
        <v>15951</v>
      </c>
    </row>
    <row r="189" spans="1:15" ht="13.8" x14ac:dyDescent="0.25">
      <c r="A189" s="192">
        <v>36000</v>
      </c>
      <c r="B189" s="194" t="s">
        <v>389</v>
      </c>
      <c r="C189" s="197">
        <v>-1701323</v>
      </c>
      <c r="D189" s="197">
        <v>685882</v>
      </c>
      <c r="E189" s="197">
        <v>1335646</v>
      </c>
      <c r="F189" s="197">
        <v>25371</v>
      </c>
      <c r="G189" s="197">
        <v>19860</v>
      </c>
      <c r="H189" s="197">
        <v>1956888</v>
      </c>
      <c r="J189" s="197">
        <v>792635</v>
      </c>
      <c r="K189" s="197">
        <v>231354</v>
      </c>
      <c r="L189" s="197">
        <v>907603</v>
      </c>
      <c r="M189" s="197">
        <v>-76163</v>
      </c>
      <c r="N189" s="197">
        <f t="shared" si="4"/>
        <v>831440</v>
      </c>
      <c r="O189" s="162">
        <f t="shared" si="5"/>
        <v>2980877</v>
      </c>
    </row>
    <row r="190" spans="1:15" ht="13.8" x14ac:dyDescent="0.25">
      <c r="A190" s="193">
        <v>36001</v>
      </c>
      <c r="B190" s="195" t="s">
        <v>390</v>
      </c>
      <c r="C190" s="198">
        <v>0</v>
      </c>
      <c r="D190" s="198">
        <v>0</v>
      </c>
      <c r="E190" s="198">
        <v>0</v>
      </c>
      <c r="F190" s="198">
        <v>0</v>
      </c>
      <c r="G190" s="198">
        <v>0</v>
      </c>
      <c r="H190" s="198">
        <v>0</v>
      </c>
      <c r="J190" s="198">
        <v>0</v>
      </c>
      <c r="K190" s="198">
        <v>0</v>
      </c>
      <c r="L190" s="198">
        <v>0</v>
      </c>
      <c r="M190" s="198">
        <v>339</v>
      </c>
      <c r="N190" s="197">
        <f t="shared" si="4"/>
        <v>339</v>
      </c>
      <c r="O190" s="162">
        <f t="shared" si="5"/>
        <v>0</v>
      </c>
    </row>
    <row r="191" spans="1:15" ht="13.8" x14ac:dyDescent="0.25">
      <c r="A191" s="193">
        <v>36003</v>
      </c>
      <c r="B191" s="195" t="s">
        <v>391</v>
      </c>
      <c r="C191" s="198">
        <v>-12199</v>
      </c>
      <c r="D191" s="198">
        <v>4918</v>
      </c>
      <c r="E191" s="198">
        <v>9577</v>
      </c>
      <c r="F191" s="198">
        <v>182</v>
      </c>
      <c r="G191" s="198">
        <v>1553</v>
      </c>
      <c r="H191" s="198">
        <v>14032</v>
      </c>
      <c r="J191" s="198">
        <v>5683</v>
      </c>
      <c r="K191" s="198">
        <v>1605</v>
      </c>
      <c r="L191" s="198">
        <v>6508</v>
      </c>
      <c r="M191" s="198">
        <v>159</v>
      </c>
      <c r="N191" s="197">
        <f t="shared" si="4"/>
        <v>6667</v>
      </c>
      <c r="O191" s="162">
        <f t="shared" si="5"/>
        <v>21320</v>
      </c>
    </row>
    <row r="192" spans="1:15" ht="13.8" x14ac:dyDescent="0.25">
      <c r="A192" s="193">
        <v>36004</v>
      </c>
      <c r="B192" s="195" t="s">
        <v>392</v>
      </c>
      <c r="C192" s="198">
        <v>-10131</v>
      </c>
      <c r="D192" s="198">
        <v>4084</v>
      </c>
      <c r="E192" s="198">
        <v>7954</v>
      </c>
      <c r="F192" s="198">
        <v>151</v>
      </c>
      <c r="G192" s="198">
        <v>0</v>
      </c>
      <c r="H192" s="198">
        <v>11653</v>
      </c>
      <c r="J192" s="198">
        <v>4720</v>
      </c>
      <c r="K192" s="198">
        <v>5583</v>
      </c>
      <c r="L192" s="198">
        <v>5405</v>
      </c>
      <c r="M192" s="198">
        <v>-2058</v>
      </c>
      <c r="N192" s="197">
        <f t="shared" si="4"/>
        <v>3347</v>
      </c>
      <c r="O192" s="162">
        <f t="shared" si="5"/>
        <v>21956</v>
      </c>
    </row>
    <row r="193" spans="1:15" ht="13.8" x14ac:dyDescent="0.25">
      <c r="A193" s="193">
        <v>36005</v>
      </c>
      <c r="B193" s="195" t="s">
        <v>87</v>
      </c>
      <c r="C193" s="198">
        <v>-124039</v>
      </c>
      <c r="D193" s="198">
        <v>50006</v>
      </c>
      <c r="E193" s="198">
        <v>97378</v>
      </c>
      <c r="F193" s="198">
        <v>1850</v>
      </c>
      <c r="G193" s="198">
        <v>28612</v>
      </c>
      <c r="H193" s="198">
        <v>142671</v>
      </c>
      <c r="J193" s="198">
        <v>57789</v>
      </c>
      <c r="K193" s="198">
        <v>809</v>
      </c>
      <c r="L193" s="198">
        <v>66171</v>
      </c>
      <c r="M193" s="198">
        <v>9820</v>
      </c>
      <c r="N193" s="197">
        <f t="shared" si="4"/>
        <v>75991</v>
      </c>
      <c r="O193" s="162">
        <f t="shared" si="5"/>
        <v>201269</v>
      </c>
    </row>
    <row r="194" spans="1:15" ht="13.8" x14ac:dyDescent="0.25">
      <c r="A194" s="193">
        <v>36006</v>
      </c>
      <c r="B194" s="195" t="s">
        <v>393</v>
      </c>
      <c r="C194" s="198">
        <v>-19775</v>
      </c>
      <c r="D194" s="198">
        <v>7972</v>
      </c>
      <c r="E194" s="198">
        <v>15525</v>
      </c>
      <c r="F194" s="198">
        <v>295</v>
      </c>
      <c r="G194" s="198">
        <v>60</v>
      </c>
      <c r="H194" s="198">
        <v>22746</v>
      </c>
      <c r="J194" s="198">
        <v>9213</v>
      </c>
      <c r="K194" s="198">
        <v>5634</v>
      </c>
      <c r="L194" s="198">
        <v>10550</v>
      </c>
      <c r="M194" s="198">
        <v>-3567</v>
      </c>
      <c r="N194" s="197">
        <f t="shared" si="4"/>
        <v>6983</v>
      </c>
      <c r="O194" s="162">
        <f t="shared" si="5"/>
        <v>37593</v>
      </c>
    </row>
    <row r="195" spans="1:15" ht="13.8" x14ac:dyDescent="0.25">
      <c r="A195" s="193">
        <v>36007</v>
      </c>
      <c r="B195" s="195" t="s">
        <v>394</v>
      </c>
      <c r="C195" s="198">
        <v>-8676</v>
      </c>
      <c r="D195" s="198">
        <v>3498</v>
      </c>
      <c r="E195" s="198">
        <v>6811</v>
      </c>
      <c r="F195" s="198">
        <v>129</v>
      </c>
      <c r="G195" s="198">
        <v>0</v>
      </c>
      <c r="H195" s="198">
        <v>9979</v>
      </c>
      <c r="J195" s="198">
        <v>4042</v>
      </c>
      <c r="K195" s="198">
        <v>3901</v>
      </c>
      <c r="L195" s="198">
        <v>4628</v>
      </c>
      <c r="M195" s="198">
        <v>-1747</v>
      </c>
      <c r="N195" s="197">
        <f t="shared" si="4"/>
        <v>2881</v>
      </c>
      <c r="O195" s="162">
        <f t="shared" si="5"/>
        <v>17922</v>
      </c>
    </row>
    <row r="196" spans="1:15" ht="13.8" x14ac:dyDescent="0.25">
      <c r="A196" s="192">
        <v>36008</v>
      </c>
      <c r="B196" s="194" t="s">
        <v>395</v>
      </c>
      <c r="C196" s="197">
        <v>-17487</v>
      </c>
      <c r="D196" s="197">
        <v>7050</v>
      </c>
      <c r="E196" s="197">
        <v>13728</v>
      </c>
      <c r="F196" s="197">
        <v>261</v>
      </c>
      <c r="G196" s="197">
        <v>0</v>
      </c>
      <c r="H196" s="197">
        <v>20114</v>
      </c>
      <c r="J196" s="197">
        <v>8147</v>
      </c>
      <c r="K196" s="197">
        <v>6069</v>
      </c>
      <c r="L196" s="197">
        <v>9329</v>
      </c>
      <c r="M196" s="197">
        <v>-2187</v>
      </c>
      <c r="N196" s="197">
        <f t="shared" si="4"/>
        <v>7142</v>
      </c>
      <c r="O196" s="162">
        <f t="shared" si="5"/>
        <v>34330</v>
      </c>
    </row>
    <row r="197" spans="1:15" ht="13.8" x14ac:dyDescent="0.25">
      <c r="A197" s="192">
        <v>36009</v>
      </c>
      <c r="B197" s="194" t="s">
        <v>396</v>
      </c>
      <c r="C197" s="197">
        <v>-1920</v>
      </c>
      <c r="D197" s="197">
        <v>774</v>
      </c>
      <c r="E197" s="197">
        <v>1507</v>
      </c>
      <c r="F197" s="197">
        <v>29</v>
      </c>
      <c r="G197" s="197">
        <v>1877</v>
      </c>
      <c r="H197" s="197">
        <v>2208</v>
      </c>
      <c r="J197" s="197">
        <v>894</v>
      </c>
      <c r="K197" s="197">
        <v>656</v>
      </c>
      <c r="L197" s="197">
        <v>1024</v>
      </c>
      <c r="M197" s="197">
        <v>458</v>
      </c>
      <c r="N197" s="197">
        <f t="shared" ref="N197:N260" si="6">SUM(L197+M197)</f>
        <v>1482</v>
      </c>
      <c r="O197" s="162">
        <f t="shared" ref="O197:O260" si="7">SUM(H197:K197)</f>
        <v>3758</v>
      </c>
    </row>
    <row r="198" spans="1:15" ht="13.8" x14ac:dyDescent="0.25">
      <c r="A198" s="192">
        <v>36100</v>
      </c>
      <c r="B198" s="194" t="s">
        <v>397</v>
      </c>
      <c r="C198" s="197">
        <v>-20315</v>
      </c>
      <c r="D198" s="197">
        <v>8190</v>
      </c>
      <c r="E198" s="197">
        <v>15949</v>
      </c>
      <c r="F198" s="197">
        <v>303</v>
      </c>
      <c r="G198" s="197">
        <v>3907</v>
      </c>
      <c r="H198" s="197">
        <v>23367</v>
      </c>
      <c r="J198" s="197">
        <v>9465</v>
      </c>
      <c r="K198" s="197">
        <v>164</v>
      </c>
      <c r="L198" s="197">
        <v>10838</v>
      </c>
      <c r="M198" s="197">
        <v>1285</v>
      </c>
      <c r="N198" s="197">
        <f t="shared" si="6"/>
        <v>12123</v>
      </c>
      <c r="O198" s="162">
        <f t="shared" si="7"/>
        <v>32996</v>
      </c>
    </row>
    <row r="199" spans="1:15" ht="13.8" x14ac:dyDescent="0.25">
      <c r="A199" s="192">
        <v>36102</v>
      </c>
      <c r="B199" s="194" t="s">
        <v>398</v>
      </c>
      <c r="C199" s="197">
        <v>0</v>
      </c>
      <c r="D199" s="197">
        <v>0</v>
      </c>
      <c r="E199" s="197">
        <v>0</v>
      </c>
      <c r="F199" s="197">
        <v>0</v>
      </c>
      <c r="G199" s="197">
        <v>12424</v>
      </c>
      <c r="H199" s="197">
        <v>0</v>
      </c>
      <c r="J199" s="197">
        <v>0</v>
      </c>
      <c r="K199" s="197">
        <v>2385</v>
      </c>
      <c r="L199" s="197">
        <v>0</v>
      </c>
      <c r="M199" s="197">
        <v>921</v>
      </c>
      <c r="N199" s="197">
        <f t="shared" si="6"/>
        <v>921</v>
      </c>
      <c r="O199" s="162">
        <f t="shared" si="7"/>
        <v>2385</v>
      </c>
    </row>
    <row r="200" spans="1:15" ht="13.8" x14ac:dyDescent="0.25">
      <c r="A200" s="192">
        <v>36105</v>
      </c>
      <c r="B200" s="194" t="s">
        <v>88</v>
      </c>
      <c r="C200" s="197">
        <v>-8432</v>
      </c>
      <c r="D200" s="197">
        <v>3399</v>
      </c>
      <c r="E200" s="197">
        <v>6620</v>
      </c>
      <c r="F200" s="197">
        <v>126</v>
      </c>
      <c r="G200" s="197">
        <v>4514</v>
      </c>
      <c r="H200" s="197">
        <v>9699</v>
      </c>
      <c r="J200" s="197">
        <v>3929</v>
      </c>
      <c r="K200" s="197">
        <v>0</v>
      </c>
      <c r="L200" s="197">
        <v>4498</v>
      </c>
      <c r="M200" s="197">
        <v>1933</v>
      </c>
      <c r="N200" s="197">
        <f t="shared" si="6"/>
        <v>6431</v>
      </c>
      <c r="O200" s="162">
        <f t="shared" si="7"/>
        <v>13628</v>
      </c>
    </row>
    <row r="201" spans="1:15" ht="13.8" x14ac:dyDescent="0.25">
      <c r="A201" s="192">
        <v>36200</v>
      </c>
      <c r="B201" s="194" t="s">
        <v>399</v>
      </c>
      <c r="C201" s="197">
        <v>-38224</v>
      </c>
      <c r="D201" s="197">
        <v>15410</v>
      </c>
      <c r="E201" s="197">
        <v>30008</v>
      </c>
      <c r="F201" s="197">
        <v>570</v>
      </c>
      <c r="G201" s="197">
        <v>12928</v>
      </c>
      <c r="H201" s="197">
        <v>43966</v>
      </c>
      <c r="J201" s="197">
        <v>17808</v>
      </c>
      <c r="K201" s="197">
        <v>0</v>
      </c>
      <c r="L201" s="197">
        <v>20391</v>
      </c>
      <c r="M201" s="197">
        <v>4080</v>
      </c>
      <c r="N201" s="197">
        <f t="shared" si="6"/>
        <v>24471</v>
      </c>
      <c r="O201" s="162">
        <f t="shared" si="7"/>
        <v>61774</v>
      </c>
    </row>
    <row r="202" spans="1:15" ht="13.8" x14ac:dyDescent="0.25">
      <c r="A202" s="193">
        <v>36205</v>
      </c>
      <c r="B202" s="195" t="s">
        <v>89</v>
      </c>
      <c r="C202" s="198">
        <v>-8897</v>
      </c>
      <c r="D202" s="198">
        <v>3587</v>
      </c>
      <c r="E202" s="198">
        <v>6984</v>
      </c>
      <c r="F202" s="198">
        <v>133</v>
      </c>
      <c r="G202" s="198">
        <v>238</v>
      </c>
      <c r="H202" s="198">
        <v>10233</v>
      </c>
      <c r="J202" s="198">
        <v>4145</v>
      </c>
      <c r="K202" s="198">
        <v>923</v>
      </c>
      <c r="L202" s="198">
        <v>4746</v>
      </c>
      <c r="M202" s="198">
        <v>-303</v>
      </c>
      <c r="N202" s="197">
        <f t="shared" si="6"/>
        <v>4443</v>
      </c>
      <c r="O202" s="162">
        <f t="shared" si="7"/>
        <v>15301</v>
      </c>
    </row>
    <row r="203" spans="1:15" ht="13.8" x14ac:dyDescent="0.25">
      <c r="A203" s="193">
        <v>36300</v>
      </c>
      <c r="B203" s="195" t="s">
        <v>400</v>
      </c>
      <c r="C203" s="198">
        <v>-139689</v>
      </c>
      <c r="D203" s="198">
        <v>56315</v>
      </c>
      <c r="E203" s="198">
        <v>109664</v>
      </c>
      <c r="F203" s="198">
        <v>2083</v>
      </c>
      <c r="G203" s="198">
        <v>6204</v>
      </c>
      <c r="H203" s="198">
        <v>160672</v>
      </c>
      <c r="J203" s="198">
        <v>65080</v>
      </c>
      <c r="K203" s="198">
        <v>3628</v>
      </c>
      <c r="L203" s="198">
        <v>74520</v>
      </c>
      <c r="M203" s="198">
        <v>678</v>
      </c>
      <c r="N203" s="197">
        <f t="shared" si="6"/>
        <v>75198</v>
      </c>
      <c r="O203" s="162">
        <f t="shared" si="7"/>
        <v>229380</v>
      </c>
    </row>
    <row r="204" spans="1:15" ht="13.8" x14ac:dyDescent="0.25">
      <c r="A204" s="193">
        <v>36301</v>
      </c>
      <c r="B204" s="195" t="s">
        <v>401</v>
      </c>
      <c r="C204" s="198">
        <v>-3651</v>
      </c>
      <c r="D204" s="198">
        <v>1472</v>
      </c>
      <c r="E204" s="198">
        <v>2867</v>
      </c>
      <c r="F204" s="198">
        <v>54</v>
      </c>
      <c r="G204" s="198">
        <v>262</v>
      </c>
      <c r="H204" s="198">
        <v>4200</v>
      </c>
      <c r="J204" s="198">
        <v>1701</v>
      </c>
      <c r="K204" s="198">
        <v>2013</v>
      </c>
      <c r="L204" s="198">
        <v>1948</v>
      </c>
      <c r="M204" s="198">
        <v>-503</v>
      </c>
      <c r="N204" s="197">
        <f t="shared" si="6"/>
        <v>1445</v>
      </c>
      <c r="O204" s="162">
        <f t="shared" si="7"/>
        <v>7914</v>
      </c>
    </row>
    <row r="205" spans="1:15" ht="13.8" x14ac:dyDescent="0.25">
      <c r="A205" s="193">
        <v>36302</v>
      </c>
      <c r="B205" s="195" t="s">
        <v>402</v>
      </c>
      <c r="C205" s="198">
        <v>-6490</v>
      </c>
      <c r="D205" s="198">
        <v>2616</v>
      </c>
      <c r="E205" s="198">
        <v>5095</v>
      </c>
      <c r="F205" s="198">
        <v>97</v>
      </c>
      <c r="G205" s="198">
        <v>26</v>
      </c>
      <c r="H205" s="198">
        <v>7465</v>
      </c>
      <c r="J205" s="198">
        <v>3024</v>
      </c>
      <c r="K205" s="198">
        <v>4063</v>
      </c>
      <c r="L205" s="198">
        <v>3462</v>
      </c>
      <c r="M205" s="198">
        <v>-1600</v>
      </c>
      <c r="N205" s="197">
        <f t="shared" si="6"/>
        <v>1862</v>
      </c>
      <c r="O205" s="162">
        <f t="shared" si="7"/>
        <v>14552</v>
      </c>
    </row>
    <row r="206" spans="1:15" ht="13.8" x14ac:dyDescent="0.25">
      <c r="A206" s="193">
        <v>36303</v>
      </c>
      <c r="B206" s="195" t="s">
        <v>403</v>
      </c>
      <c r="C206" s="198">
        <v>-8716</v>
      </c>
      <c r="D206" s="198">
        <v>3514</v>
      </c>
      <c r="E206" s="198">
        <v>6842</v>
      </c>
      <c r="F206" s="198">
        <v>130</v>
      </c>
      <c r="G206" s="198">
        <v>0</v>
      </c>
      <c r="H206" s="198">
        <v>10025</v>
      </c>
      <c r="J206" s="198">
        <v>4060</v>
      </c>
      <c r="K206" s="198">
        <v>6152</v>
      </c>
      <c r="L206" s="198">
        <v>4649</v>
      </c>
      <c r="M206" s="198">
        <v>-4483</v>
      </c>
      <c r="N206" s="197">
        <f t="shared" si="6"/>
        <v>166</v>
      </c>
      <c r="O206" s="162">
        <f t="shared" si="7"/>
        <v>20237</v>
      </c>
    </row>
    <row r="207" spans="1:15" ht="13.8" x14ac:dyDescent="0.25">
      <c r="A207" s="193">
        <v>36305</v>
      </c>
      <c r="B207" s="195" t="s">
        <v>90</v>
      </c>
      <c r="C207" s="198">
        <v>-29686</v>
      </c>
      <c r="D207" s="198">
        <v>11968</v>
      </c>
      <c r="E207" s="198">
        <v>23305</v>
      </c>
      <c r="F207" s="198">
        <v>443</v>
      </c>
      <c r="G207" s="198">
        <v>3218</v>
      </c>
      <c r="H207" s="198">
        <v>34145</v>
      </c>
      <c r="J207" s="198">
        <v>13831</v>
      </c>
      <c r="K207" s="198">
        <v>733</v>
      </c>
      <c r="L207" s="198">
        <v>15837</v>
      </c>
      <c r="M207" s="198">
        <v>1177</v>
      </c>
      <c r="N207" s="197">
        <f t="shared" si="6"/>
        <v>17014</v>
      </c>
      <c r="O207" s="162">
        <f t="shared" si="7"/>
        <v>48709</v>
      </c>
    </row>
    <row r="208" spans="1:15" ht="13.8" x14ac:dyDescent="0.25">
      <c r="A208" s="192">
        <v>36310</v>
      </c>
      <c r="B208" s="194" t="s">
        <v>404</v>
      </c>
      <c r="C208" s="197">
        <v>0</v>
      </c>
      <c r="D208" s="197">
        <v>0</v>
      </c>
      <c r="E208" s="197">
        <v>0</v>
      </c>
      <c r="F208" s="197">
        <v>0</v>
      </c>
      <c r="G208" s="197">
        <v>0</v>
      </c>
      <c r="H208" s="197">
        <v>0</v>
      </c>
      <c r="J208" s="197">
        <v>0</v>
      </c>
      <c r="K208" s="197">
        <v>0</v>
      </c>
      <c r="L208" s="197">
        <v>0</v>
      </c>
      <c r="M208" s="197">
        <v>467</v>
      </c>
      <c r="N208" s="197">
        <f t="shared" si="6"/>
        <v>467</v>
      </c>
      <c r="O208" s="162">
        <f t="shared" si="7"/>
        <v>0</v>
      </c>
    </row>
    <row r="209" spans="1:15" ht="13.8" x14ac:dyDescent="0.25">
      <c r="A209" s="192">
        <v>36400</v>
      </c>
      <c r="B209" s="194" t="s">
        <v>405</v>
      </c>
      <c r="C209" s="197">
        <v>-138856</v>
      </c>
      <c r="D209" s="197">
        <v>55979</v>
      </c>
      <c r="E209" s="197">
        <v>109010</v>
      </c>
      <c r="F209" s="197">
        <v>2071</v>
      </c>
      <c r="G209" s="197">
        <v>30045</v>
      </c>
      <c r="H209" s="197">
        <v>159714</v>
      </c>
      <c r="J209" s="197">
        <v>64692</v>
      </c>
      <c r="K209" s="197">
        <v>2121</v>
      </c>
      <c r="L209" s="197">
        <v>74075</v>
      </c>
      <c r="M209" s="197">
        <v>12109</v>
      </c>
      <c r="N209" s="197">
        <f t="shared" si="6"/>
        <v>86184</v>
      </c>
      <c r="O209" s="162">
        <f t="shared" si="7"/>
        <v>226527</v>
      </c>
    </row>
    <row r="210" spans="1:15" ht="13.8" x14ac:dyDescent="0.25">
      <c r="A210" s="192">
        <v>36401</v>
      </c>
      <c r="B210" s="194" t="s">
        <v>551</v>
      </c>
      <c r="C210" s="197">
        <v>-1350</v>
      </c>
      <c r="D210" s="197">
        <v>544</v>
      </c>
      <c r="E210" s="197">
        <v>1060</v>
      </c>
      <c r="F210" s="197">
        <v>20</v>
      </c>
      <c r="G210" s="197">
        <v>0</v>
      </c>
      <c r="H210" s="197">
        <v>1553</v>
      </c>
      <c r="J210" s="197">
        <v>629</v>
      </c>
      <c r="K210" s="197">
        <v>375</v>
      </c>
      <c r="L210" s="197">
        <v>720</v>
      </c>
      <c r="M210" s="197">
        <v>-188</v>
      </c>
      <c r="N210" s="197">
        <f t="shared" si="6"/>
        <v>532</v>
      </c>
      <c r="O210" s="162">
        <f t="shared" si="7"/>
        <v>2557</v>
      </c>
    </row>
    <row r="211" spans="1:15" ht="13.8" x14ac:dyDescent="0.25">
      <c r="A211" s="192">
        <v>36405</v>
      </c>
      <c r="B211" s="194" t="s">
        <v>406</v>
      </c>
      <c r="C211" s="197">
        <v>-18626</v>
      </c>
      <c r="D211" s="197">
        <v>7509</v>
      </c>
      <c r="E211" s="197">
        <v>14623</v>
      </c>
      <c r="F211" s="197">
        <v>278</v>
      </c>
      <c r="G211" s="197">
        <v>7406</v>
      </c>
      <c r="H211" s="197">
        <v>21424</v>
      </c>
      <c r="J211" s="197">
        <v>8678</v>
      </c>
      <c r="K211" s="197">
        <v>0</v>
      </c>
      <c r="L211" s="197">
        <v>9937</v>
      </c>
      <c r="M211" s="197">
        <v>3687</v>
      </c>
      <c r="N211" s="197">
        <f t="shared" si="6"/>
        <v>13624</v>
      </c>
      <c r="O211" s="162">
        <f t="shared" si="7"/>
        <v>30102</v>
      </c>
    </row>
    <row r="212" spans="1:15" ht="13.8" x14ac:dyDescent="0.25">
      <c r="A212" s="192">
        <v>36500</v>
      </c>
      <c r="B212" s="194" t="s">
        <v>407</v>
      </c>
      <c r="C212" s="197">
        <v>-318770</v>
      </c>
      <c r="D212" s="197">
        <v>128511</v>
      </c>
      <c r="E212" s="197">
        <v>250255</v>
      </c>
      <c r="F212" s="197">
        <v>4754</v>
      </c>
      <c r="G212" s="197">
        <v>9231</v>
      </c>
      <c r="H212" s="197">
        <v>366654</v>
      </c>
      <c r="J212" s="197">
        <v>148513</v>
      </c>
      <c r="K212" s="197">
        <v>26525</v>
      </c>
      <c r="L212" s="197">
        <v>170054</v>
      </c>
      <c r="M212" s="197">
        <v>-14449</v>
      </c>
      <c r="N212" s="197">
        <f t="shared" si="6"/>
        <v>155605</v>
      </c>
      <c r="O212" s="162">
        <f t="shared" si="7"/>
        <v>541692</v>
      </c>
    </row>
    <row r="213" spans="1:15" ht="13.8" x14ac:dyDescent="0.25">
      <c r="A213" s="192">
        <v>36501</v>
      </c>
      <c r="B213" s="194" t="s">
        <v>408</v>
      </c>
      <c r="C213" s="197">
        <v>-4346</v>
      </c>
      <c r="D213" s="197">
        <v>1752</v>
      </c>
      <c r="E213" s="197">
        <v>3412</v>
      </c>
      <c r="F213" s="197">
        <v>65</v>
      </c>
      <c r="G213" s="197">
        <v>69</v>
      </c>
      <c r="H213" s="197">
        <v>4999</v>
      </c>
      <c r="J213" s="197">
        <v>2025</v>
      </c>
      <c r="K213" s="197">
        <v>1604</v>
      </c>
      <c r="L213" s="197">
        <v>2319</v>
      </c>
      <c r="M213" s="197">
        <v>-561</v>
      </c>
      <c r="N213" s="197">
        <f t="shared" si="6"/>
        <v>1758</v>
      </c>
      <c r="O213" s="162">
        <f t="shared" si="7"/>
        <v>8628</v>
      </c>
    </row>
    <row r="214" spans="1:15" ht="13.8" x14ac:dyDescent="0.25">
      <c r="A214" s="193">
        <v>36502</v>
      </c>
      <c r="B214" s="195" t="s">
        <v>552</v>
      </c>
      <c r="C214" s="198">
        <v>-589</v>
      </c>
      <c r="D214" s="198">
        <v>238</v>
      </c>
      <c r="E214" s="198">
        <v>463</v>
      </c>
      <c r="F214" s="198">
        <v>9</v>
      </c>
      <c r="G214" s="198">
        <v>631</v>
      </c>
      <c r="H214" s="198">
        <v>678</v>
      </c>
      <c r="J214" s="198">
        <v>275</v>
      </c>
      <c r="K214" s="198">
        <v>128</v>
      </c>
      <c r="L214" s="198">
        <v>314</v>
      </c>
      <c r="M214" s="198">
        <v>130</v>
      </c>
      <c r="N214" s="197">
        <f t="shared" si="6"/>
        <v>444</v>
      </c>
      <c r="O214" s="162">
        <f t="shared" si="7"/>
        <v>1081</v>
      </c>
    </row>
    <row r="215" spans="1:15" ht="13.8" x14ac:dyDescent="0.25">
      <c r="A215" s="193">
        <v>36505</v>
      </c>
      <c r="B215" s="195" t="s">
        <v>92</v>
      </c>
      <c r="C215" s="198">
        <v>-60976</v>
      </c>
      <c r="D215" s="198">
        <v>24582</v>
      </c>
      <c r="E215" s="198">
        <v>47870</v>
      </c>
      <c r="F215" s="198">
        <v>909</v>
      </c>
      <c r="G215" s="198">
        <v>9342</v>
      </c>
      <c r="H215" s="198">
        <v>70135</v>
      </c>
      <c r="J215" s="198">
        <v>28408</v>
      </c>
      <c r="K215" s="198">
        <v>1624</v>
      </c>
      <c r="L215" s="198">
        <v>32529</v>
      </c>
      <c r="M215" s="198">
        <v>3141</v>
      </c>
      <c r="N215" s="197">
        <f t="shared" si="6"/>
        <v>35670</v>
      </c>
      <c r="O215" s="162">
        <f t="shared" si="7"/>
        <v>100167</v>
      </c>
    </row>
    <row r="216" spans="1:15" ht="13.8" x14ac:dyDescent="0.25">
      <c r="A216" s="193">
        <v>36600</v>
      </c>
      <c r="B216" s="195" t="s">
        <v>410</v>
      </c>
      <c r="C216" s="198">
        <v>-14204</v>
      </c>
      <c r="D216" s="198">
        <v>5726</v>
      </c>
      <c r="E216" s="198">
        <v>11151</v>
      </c>
      <c r="F216" s="198">
        <v>212</v>
      </c>
      <c r="G216" s="198">
        <v>10001</v>
      </c>
      <c r="H216" s="198">
        <v>16338</v>
      </c>
      <c r="J216" s="198">
        <v>6618</v>
      </c>
      <c r="K216" s="198">
        <v>0</v>
      </c>
      <c r="L216" s="198">
        <v>7578</v>
      </c>
      <c r="M216" s="198">
        <v>3999</v>
      </c>
      <c r="N216" s="197">
        <f t="shared" si="6"/>
        <v>11577</v>
      </c>
      <c r="O216" s="162">
        <f t="shared" si="7"/>
        <v>22956</v>
      </c>
    </row>
    <row r="217" spans="1:15" ht="13.8" x14ac:dyDescent="0.25">
      <c r="A217" s="193">
        <v>36601</v>
      </c>
      <c r="B217" s="195" t="s">
        <v>411</v>
      </c>
      <c r="C217" s="198">
        <v>0</v>
      </c>
      <c r="D217" s="198">
        <v>0</v>
      </c>
      <c r="E217" s="198">
        <v>0</v>
      </c>
      <c r="F217" s="198">
        <v>0</v>
      </c>
      <c r="G217" s="198">
        <v>11796</v>
      </c>
      <c r="H217" s="198">
        <v>0</v>
      </c>
      <c r="J217" s="198">
        <v>0</v>
      </c>
      <c r="K217" s="198">
        <v>0</v>
      </c>
      <c r="L217" s="198">
        <v>0</v>
      </c>
      <c r="M217" s="198">
        <v>3080</v>
      </c>
      <c r="N217" s="197">
        <f t="shared" si="6"/>
        <v>3080</v>
      </c>
      <c r="O217" s="162">
        <f t="shared" si="7"/>
        <v>0</v>
      </c>
    </row>
    <row r="218" spans="1:15" ht="13.8" x14ac:dyDescent="0.25">
      <c r="A218" s="193">
        <v>36700</v>
      </c>
      <c r="B218" s="195" t="s">
        <v>412</v>
      </c>
      <c r="C218" s="198">
        <v>-299037</v>
      </c>
      <c r="D218" s="198">
        <v>120556</v>
      </c>
      <c r="E218" s="198">
        <v>234763</v>
      </c>
      <c r="F218" s="198">
        <v>4459</v>
      </c>
      <c r="G218" s="198">
        <v>5099</v>
      </c>
      <c r="H218" s="198">
        <v>343957</v>
      </c>
      <c r="J218" s="198">
        <v>139319</v>
      </c>
      <c r="K218" s="198">
        <v>34035</v>
      </c>
      <c r="L218" s="198">
        <v>159527</v>
      </c>
      <c r="M218" s="198">
        <v>-20938</v>
      </c>
      <c r="N218" s="197">
        <f t="shared" si="6"/>
        <v>138589</v>
      </c>
      <c r="O218" s="162">
        <f t="shared" si="7"/>
        <v>517311</v>
      </c>
    </row>
    <row r="219" spans="1:15" ht="13.8" x14ac:dyDescent="0.25">
      <c r="A219" s="193">
        <v>36701</v>
      </c>
      <c r="B219" s="195" t="s">
        <v>413</v>
      </c>
      <c r="C219" s="198">
        <v>-1067</v>
      </c>
      <c r="D219" s="198">
        <v>430</v>
      </c>
      <c r="E219" s="198">
        <v>838</v>
      </c>
      <c r="F219" s="198">
        <v>16</v>
      </c>
      <c r="G219" s="198">
        <v>318</v>
      </c>
      <c r="H219" s="198">
        <v>1227</v>
      </c>
      <c r="J219" s="198">
        <v>497</v>
      </c>
      <c r="K219" s="198">
        <v>905</v>
      </c>
      <c r="L219" s="198">
        <v>569</v>
      </c>
      <c r="M219" s="198">
        <v>-167</v>
      </c>
      <c r="N219" s="197">
        <f t="shared" si="6"/>
        <v>402</v>
      </c>
      <c r="O219" s="162">
        <f t="shared" si="7"/>
        <v>2629</v>
      </c>
    </row>
    <row r="220" spans="1:15" ht="13.8" x14ac:dyDescent="0.25">
      <c r="A220" s="192">
        <v>36705</v>
      </c>
      <c r="B220" s="194" t="s">
        <v>93</v>
      </c>
      <c r="C220" s="197">
        <v>-25906</v>
      </c>
      <c r="D220" s="197">
        <v>10444</v>
      </c>
      <c r="E220" s="197">
        <v>20338</v>
      </c>
      <c r="F220" s="197">
        <v>386</v>
      </c>
      <c r="G220" s="197">
        <v>6675</v>
      </c>
      <c r="H220" s="197">
        <v>29798</v>
      </c>
      <c r="J220" s="197">
        <v>12070</v>
      </c>
      <c r="K220" s="197">
        <v>2458</v>
      </c>
      <c r="L220" s="197">
        <v>13820</v>
      </c>
      <c r="M220" s="197">
        <v>2041</v>
      </c>
      <c r="N220" s="197">
        <f t="shared" si="6"/>
        <v>15861</v>
      </c>
      <c r="O220" s="162">
        <f t="shared" si="7"/>
        <v>44326</v>
      </c>
    </row>
    <row r="221" spans="1:15" ht="13.8" x14ac:dyDescent="0.25">
      <c r="A221" s="192">
        <v>36800</v>
      </c>
      <c r="B221" s="194" t="s">
        <v>414</v>
      </c>
      <c r="C221" s="197">
        <v>-99354</v>
      </c>
      <c r="D221" s="197">
        <v>40054</v>
      </c>
      <c r="E221" s="197">
        <v>77999</v>
      </c>
      <c r="F221" s="197">
        <v>1482</v>
      </c>
      <c r="G221" s="197">
        <v>9601</v>
      </c>
      <c r="H221" s="197">
        <v>114279</v>
      </c>
      <c r="J221" s="197">
        <v>46288</v>
      </c>
      <c r="K221" s="197">
        <v>5860</v>
      </c>
      <c r="L221" s="197">
        <v>53002</v>
      </c>
      <c r="M221" s="197">
        <v>-1606</v>
      </c>
      <c r="N221" s="197">
        <f t="shared" si="6"/>
        <v>51396</v>
      </c>
      <c r="O221" s="162">
        <f t="shared" si="7"/>
        <v>166427</v>
      </c>
    </row>
    <row r="222" spans="1:15" ht="13.8" x14ac:dyDescent="0.25">
      <c r="A222" s="192">
        <v>36802</v>
      </c>
      <c r="B222" s="194" t="s">
        <v>415</v>
      </c>
      <c r="C222" s="197">
        <v>-7761</v>
      </c>
      <c r="D222" s="197">
        <v>3129</v>
      </c>
      <c r="E222" s="197">
        <v>6093</v>
      </c>
      <c r="F222" s="197">
        <v>116</v>
      </c>
      <c r="G222" s="197">
        <v>0</v>
      </c>
      <c r="H222" s="197">
        <v>8926</v>
      </c>
      <c r="J222" s="197">
        <v>3616</v>
      </c>
      <c r="K222" s="197">
        <v>4257</v>
      </c>
      <c r="L222" s="197">
        <v>4140</v>
      </c>
      <c r="M222" s="197">
        <v>-2346</v>
      </c>
      <c r="N222" s="197">
        <f t="shared" si="6"/>
        <v>1794</v>
      </c>
      <c r="O222" s="162">
        <f t="shared" si="7"/>
        <v>16799</v>
      </c>
    </row>
    <row r="223" spans="1:15" ht="13.8" x14ac:dyDescent="0.25">
      <c r="A223" s="192">
        <v>36810</v>
      </c>
      <c r="B223" s="194" t="s">
        <v>416</v>
      </c>
      <c r="C223" s="197">
        <v>-192643</v>
      </c>
      <c r="D223" s="197">
        <v>77664</v>
      </c>
      <c r="E223" s="197">
        <v>151237</v>
      </c>
      <c r="F223" s="197">
        <v>2873</v>
      </c>
      <c r="G223" s="197">
        <v>1790</v>
      </c>
      <c r="H223" s="197">
        <v>221581</v>
      </c>
      <c r="J223" s="197">
        <v>89751</v>
      </c>
      <c r="K223" s="197">
        <v>14272</v>
      </c>
      <c r="L223" s="197">
        <v>102769</v>
      </c>
      <c r="M223" s="197">
        <v>-6924</v>
      </c>
      <c r="N223" s="197">
        <f t="shared" si="6"/>
        <v>95845</v>
      </c>
      <c r="O223" s="162">
        <f t="shared" si="7"/>
        <v>325604</v>
      </c>
    </row>
    <row r="224" spans="1:15" ht="13.8" x14ac:dyDescent="0.25">
      <c r="A224" s="192">
        <v>36900</v>
      </c>
      <c r="B224" s="194" t="s">
        <v>417</v>
      </c>
      <c r="C224" s="197">
        <v>-18498</v>
      </c>
      <c r="D224" s="197">
        <v>7457</v>
      </c>
      <c r="E224" s="197">
        <v>14522</v>
      </c>
      <c r="F224" s="197">
        <v>276</v>
      </c>
      <c r="G224" s="197">
        <v>2855</v>
      </c>
      <c r="H224" s="197">
        <v>21276</v>
      </c>
      <c r="J224" s="197">
        <v>8618</v>
      </c>
      <c r="K224" s="197">
        <v>3037</v>
      </c>
      <c r="L224" s="197">
        <v>9868</v>
      </c>
      <c r="M224" s="197">
        <v>-488</v>
      </c>
      <c r="N224" s="197">
        <f t="shared" si="6"/>
        <v>9380</v>
      </c>
      <c r="O224" s="162">
        <f t="shared" si="7"/>
        <v>32931</v>
      </c>
    </row>
    <row r="225" spans="1:15" ht="13.8" x14ac:dyDescent="0.25">
      <c r="A225" s="192">
        <v>36901</v>
      </c>
      <c r="B225" s="194" t="s">
        <v>418</v>
      </c>
      <c r="C225" s="197">
        <v>-6170</v>
      </c>
      <c r="D225" s="197">
        <v>2488</v>
      </c>
      <c r="E225" s="197">
        <v>4844</v>
      </c>
      <c r="F225" s="197">
        <v>92</v>
      </c>
      <c r="G225" s="197">
        <v>2490</v>
      </c>
      <c r="H225" s="197">
        <v>7097</v>
      </c>
      <c r="J225" s="197">
        <v>2875</v>
      </c>
      <c r="K225" s="197">
        <v>468</v>
      </c>
      <c r="L225" s="197">
        <v>3292</v>
      </c>
      <c r="M225" s="197">
        <v>418</v>
      </c>
      <c r="N225" s="197">
        <f t="shared" si="6"/>
        <v>3710</v>
      </c>
      <c r="O225" s="162">
        <f t="shared" si="7"/>
        <v>10440</v>
      </c>
    </row>
    <row r="226" spans="1:15" ht="13.8" x14ac:dyDescent="0.25">
      <c r="A226" s="193">
        <v>36905</v>
      </c>
      <c r="B226" s="196" t="s">
        <v>94</v>
      </c>
      <c r="C226" s="198">
        <v>-5015</v>
      </c>
      <c r="D226" s="198">
        <v>2022</v>
      </c>
      <c r="E226" s="198">
        <v>3937</v>
      </c>
      <c r="F226" s="198">
        <v>75</v>
      </c>
      <c r="G226" s="198">
        <v>1929</v>
      </c>
      <c r="H226" s="198">
        <v>5768</v>
      </c>
      <c r="J226" s="198">
        <v>2336</v>
      </c>
      <c r="K226" s="198">
        <v>49</v>
      </c>
      <c r="L226" s="198">
        <v>2675</v>
      </c>
      <c r="M226" s="198">
        <v>857</v>
      </c>
      <c r="N226" s="197">
        <f t="shared" si="6"/>
        <v>3532</v>
      </c>
      <c r="O226" s="162">
        <f t="shared" si="7"/>
        <v>8153</v>
      </c>
    </row>
    <row r="227" spans="1:15" ht="13.8" x14ac:dyDescent="0.25">
      <c r="A227" s="193">
        <v>37000</v>
      </c>
      <c r="B227" s="195" t="s">
        <v>419</v>
      </c>
      <c r="C227" s="198">
        <v>-54176</v>
      </c>
      <c r="D227" s="198">
        <v>21841</v>
      </c>
      <c r="E227" s="198">
        <v>42532</v>
      </c>
      <c r="F227" s="198">
        <v>808</v>
      </c>
      <c r="G227" s="198">
        <v>9703</v>
      </c>
      <c r="H227" s="198">
        <v>62315</v>
      </c>
      <c r="J227" s="198">
        <v>25240</v>
      </c>
      <c r="K227" s="198">
        <v>516</v>
      </c>
      <c r="L227" s="198">
        <v>28901</v>
      </c>
      <c r="M227" s="198">
        <v>1291</v>
      </c>
      <c r="N227" s="197">
        <f t="shared" si="6"/>
        <v>30192</v>
      </c>
      <c r="O227" s="162">
        <f t="shared" si="7"/>
        <v>88071</v>
      </c>
    </row>
    <row r="228" spans="1:15" ht="13.8" x14ac:dyDescent="0.25">
      <c r="A228" s="193">
        <v>37001</v>
      </c>
      <c r="B228" s="195" t="s">
        <v>420</v>
      </c>
      <c r="C228" s="198">
        <v>-6309</v>
      </c>
      <c r="D228" s="198">
        <v>2543</v>
      </c>
      <c r="E228" s="198">
        <v>4953</v>
      </c>
      <c r="F228" s="198">
        <v>94</v>
      </c>
      <c r="G228" s="198">
        <v>0</v>
      </c>
      <c r="H228" s="198">
        <v>7256</v>
      </c>
      <c r="J228" s="198">
        <v>2939</v>
      </c>
      <c r="K228" s="198">
        <v>4022</v>
      </c>
      <c r="L228" s="198">
        <v>3365</v>
      </c>
      <c r="M228" s="198">
        <v>-1566</v>
      </c>
      <c r="N228" s="197">
        <f t="shared" si="6"/>
        <v>1799</v>
      </c>
      <c r="O228" s="162">
        <f t="shared" si="7"/>
        <v>14217</v>
      </c>
    </row>
    <row r="229" spans="1:15" ht="13.8" x14ac:dyDescent="0.25">
      <c r="A229" s="193">
        <v>37005</v>
      </c>
      <c r="B229" s="195" t="s">
        <v>95</v>
      </c>
      <c r="C229" s="198">
        <v>-17154</v>
      </c>
      <c r="D229" s="198">
        <v>6916</v>
      </c>
      <c r="E229" s="198">
        <v>13467</v>
      </c>
      <c r="F229" s="198">
        <v>256</v>
      </c>
      <c r="G229" s="198">
        <v>1234</v>
      </c>
      <c r="H229" s="198">
        <v>19731</v>
      </c>
      <c r="J229" s="198">
        <v>7992</v>
      </c>
      <c r="K229" s="198">
        <v>1098</v>
      </c>
      <c r="L229" s="198">
        <v>9151</v>
      </c>
      <c r="M229" s="198">
        <v>602</v>
      </c>
      <c r="N229" s="197">
        <f t="shared" si="6"/>
        <v>9753</v>
      </c>
      <c r="O229" s="162">
        <f t="shared" si="7"/>
        <v>28821</v>
      </c>
    </row>
    <row r="230" spans="1:15" ht="13.8" x14ac:dyDescent="0.25">
      <c r="A230" s="193">
        <v>37100</v>
      </c>
      <c r="B230" s="195" t="s">
        <v>421</v>
      </c>
      <c r="C230" s="198">
        <v>-117098</v>
      </c>
      <c r="D230" s="198">
        <v>47208</v>
      </c>
      <c r="E230" s="198">
        <v>91929</v>
      </c>
      <c r="F230" s="198">
        <v>1746</v>
      </c>
      <c r="G230" s="198">
        <v>502</v>
      </c>
      <c r="H230" s="198">
        <v>134688</v>
      </c>
      <c r="J230" s="198">
        <v>54555</v>
      </c>
      <c r="K230" s="198">
        <v>20947</v>
      </c>
      <c r="L230" s="198">
        <v>62468</v>
      </c>
      <c r="M230" s="198">
        <v>-10698</v>
      </c>
      <c r="N230" s="197">
        <f t="shared" si="6"/>
        <v>51770</v>
      </c>
      <c r="O230" s="162">
        <f t="shared" si="7"/>
        <v>210190</v>
      </c>
    </row>
    <row r="231" spans="1:15" ht="13.8" x14ac:dyDescent="0.25">
      <c r="A231" s="193">
        <v>37200</v>
      </c>
      <c r="B231" s="195" t="s">
        <v>422</v>
      </c>
      <c r="C231" s="198">
        <v>-20575</v>
      </c>
      <c r="D231" s="198">
        <v>8295</v>
      </c>
      <c r="E231" s="198">
        <v>16153</v>
      </c>
      <c r="F231" s="198">
        <v>307</v>
      </c>
      <c r="G231" s="198">
        <v>3282</v>
      </c>
      <c r="H231" s="198">
        <v>23666</v>
      </c>
      <c r="J231" s="198">
        <v>9586</v>
      </c>
      <c r="K231" s="198">
        <v>1483</v>
      </c>
      <c r="L231" s="198">
        <v>10976</v>
      </c>
      <c r="M231" s="198">
        <v>652</v>
      </c>
      <c r="N231" s="197">
        <f t="shared" si="6"/>
        <v>11628</v>
      </c>
      <c r="O231" s="162">
        <f t="shared" si="7"/>
        <v>34735</v>
      </c>
    </row>
    <row r="232" spans="1:15" ht="13.8" x14ac:dyDescent="0.25">
      <c r="A232" s="192">
        <v>37300</v>
      </c>
      <c r="B232" s="194" t="s">
        <v>423</v>
      </c>
      <c r="C232" s="197">
        <v>-52063</v>
      </c>
      <c r="D232" s="197">
        <v>20989</v>
      </c>
      <c r="E232" s="197">
        <v>40872</v>
      </c>
      <c r="F232" s="197">
        <v>776</v>
      </c>
      <c r="G232" s="197">
        <v>6484</v>
      </c>
      <c r="H232" s="197">
        <v>59883</v>
      </c>
      <c r="J232" s="197">
        <v>24256</v>
      </c>
      <c r="K232" s="197">
        <v>4757</v>
      </c>
      <c r="L232" s="197">
        <v>27774</v>
      </c>
      <c r="M232" s="197">
        <v>-517</v>
      </c>
      <c r="N232" s="197">
        <f t="shared" si="6"/>
        <v>27257</v>
      </c>
      <c r="O232" s="162">
        <f t="shared" si="7"/>
        <v>88896</v>
      </c>
    </row>
    <row r="233" spans="1:15" ht="13.8" x14ac:dyDescent="0.25">
      <c r="A233" s="192">
        <v>37301</v>
      </c>
      <c r="B233" s="194" t="s">
        <v>424</v>
      </c>
      <c r="C233" s="197">
        <v>-5578</v>
      </c>
      <c r="D233" s="197">
        <v>2249</v>
      </c>
      <c r="E233" s="197">
        <v>4379</v>
      </c>
      <c r="F233" s="197">
        <v>83</v>
      </c>
      <c r="G233" s="197">
        <v>646</v>
      </c>
      <c r="H233" s="197">
        <v>6416</v>
      </c>
      <c r="J233" s="197">
        <v>2599</v>
      </c>
      <c r="K233" s="197">
        <v>170</v>
      </c>
      <c r="L233" s="197">
        <v>2976</v>
      </c>
      <c r="M233" s="197">
        <v>234</v>
      </c>
      <c r="N233" s="197">
        <f t="shared" si="6"/>
        <v>3210</v>
      </c>
      <c r="O233" s="162">
        <f t="shared" si="7"/>
        <v>9185</v>
      </c>
    </row>
    <row r="234" spans="1:15" ht="13.8" x14ac:dyDescent="0.25">
      <c r="A234" s="192">
        <v>37305</v>
      </c>
      <c r="B234" s="194" t="s">
        <v>96</v>
      </c>
      <c r="C234" s="197">
        <v>-12021</v>
      </c>
      <c r="D234" s="197">
        <v>4846</v>
      </c>
      <c r="E234" s="197">
        <v>9437</v>
      </c>
      <c r="F234" s="197">
        <v>179</v>
      </c>
      <c r="G234" s="197">
        <v>4594</v>
      </c>
      <c r="H234" s="197">
        <v>13827</v>
      </c>
      <c r="J234" s="197">
        <v>5601</v>
      </c>
      <c r="K234" s="197">
        <v>0</v>
      </c>
      <c r="L234" s="197">
        <v>6413</v>
      </c>
      <c r="M234" s="197">
        <v>2356</v>
      </c>
      <c r="N234" s="197">
        <f t="shared" si="6"/>
        <v>8769</v>
      </c>
      <c r="O234" s="162">
        <f t="shared" si="7"/>
        <v>19428</v>
      </c>
    </row>
    <row r="235" spans="1:15" ht="13.8" x14ac:dyDescent="0.25">
      <c r="A235" s="192">
        <v>37400</v>
      </c>
      <c r="B235" s="194" t="s">
        <v>425</v>
      </c>
      <c r="C235" s="197">
        <v>-264080</v>
      </c>
      <c r="D235" s="197">
        <v>106463</v>
      </c>
      <c r="E235" s="197">
        <v>207319</v>
      </c>
      <c r="F235" s="197">
        <v>3938</v>
      </c>
      <c r="G235" s="197">
        <v>5223</v>
      </c>
      <c r="H235" s="197">
        <v>303749</v>
      </c>
      <c r="J235" s="197">
        <v>123033</v>
      </c>
      <c r="K235" s="197">
        <v>43573</v>
      </c>
      <c r="L235" s="197">
        <v>140878</v>
      </c>
      <c r="M235" s="197">
        <v>-19880</v>
      </c>
      <c r="N235" s="197">
        <f t="shared" si="6"/>
        <v>120998</v>
      </c>
      <c r="O235" s="162">
        <f t="shared" si="7"/>
        <v>470355</v>
      </c>
    </row>
    <row r="236" spans="1:15" ht="13.8" x14ac:dyDescent="0.25">
      <c r="A236" s="192">
        <v>37405</v>
      </c>
      <c r="B236" s="194" t="s">
        <v>97</v>
      </c>
      <c r="C236" s="197">
        <v>-46087</v>
      </c>
      <c r="D236" s="197">
        <v>18580</v>
      </c>
      <c r="E236" s="197">
        <v>36181</v>
      </c>
      <c r="F236" s="197">
        <v>687</v>
      </c>
      <c r="G236" s="197">
        <v>15134</v>
      </c>
      <c r="H236" s="197">
        <v>53009</v>
      </c>
      <c r="J236" s="197">
        <v>21471</v>
      </c>
      <c r="K236" s="197">
        <v>221</v>
      </c>
      <c r="L236" s="197">
        <v>24586</v>
      </c>
      <c r="M236" s="197">
        <v>6822</v>
      </c>
      <c r="N236" s="197">
        <f t="shared" si="6"/>
        <v>31408</v>
      </c>
      <c r="O236" s="162">
        <f t="shared" si="7"/>
        <v>74701</v>
      </c>
    </row>
    <row r="237" spans="1:15" ht="13.8" x14ac:dyDescent="0.25">
      <c r="A237" s="192">
        <v>37500</v>
      </c>
      <c r="B237" s="194" t="s">
        <v>426</v>
      </c>
      <c r="C237" s="197">
        <v>-28642</v>
      </c>
      <c r="D237" s="197">
        <v>11547</v>
      </c>
      <c r="E237" s="197">
        <v>22486</v>
      </c>
      <c r="F237" s="197">
        <v>427</v>
      </c>
      <c r="G237" s="197">
        <v>3826</v>
      </c>
      <c r="H237" s="197">
        <v>32945</v>
      </c>
      <c r="J237" s="197">
        <v>13344</v>
      </c>
      <c r="K237" s="197">
        <v>424</v>
      </c>
      <c r="L237" s="197">
        <v>15280</v>
      </c>
      <c r="M237" s="197">
        <v>1367</v>
      </c>
      <c r="N237" s="197">
        <f t="shared" si="6"/>
        <v>16647</v>
      </c>
      <c r="O237" s="162">
        <f t="shared" si="7"/>
        <v>46713</v>
      </c>
    </row>
    <row r="238" spans="1:15" ht="13.8" x14ac:dyDescent="0.25">
      <c r="A238" s="192">
        <v>37600</v>
      </c>
      <c r="B238" s="194" t="s">
        <v>427</v>
      </c>
      <c r="C238" s="197">
        <v>-160126</v>
      </c>
      <c r="D238" s="197">
        <v>64554</v>
      </c>
      <c r="E238" s="197">
        <v>125709</v>
      </c>
      <c r="F238" s="197">
        <v>2388</v>
      </c>
      <c r="G238" s="197">
        <v>18421</v>
      </c>
      <c r="H238" s="197">
        <v>184179</v>
      </c>
      <c r="J238" s="197">
        <v>74601</v>
      </c>
      <c r="K238" s="197">
        <v>5916</v>
      </c>
      <c r="L238" s="197">
        <v>85422</v>
      </c>
      <c r="M238" s="197">
        <v>2591</v>
      </c>
      <c r="N238" s="197">
        <f t="shared" si="6"/>
        <v>88013</v>
      </c>
      <c r="O238" s="162">
        <f t="shared" si="7"/>
        <v>264696</v>
      </c>
    </row>
    <row r="239" spans="1:15" ht="13.8" x14ac:dyDescent="0.25">
      <c r="A239" s="192">
        <v>37601</v>
      </c>
      <c r="B239" s="194" t="s">
        <v>428</v>
      </c>
      <c r="C239" s="197">
        <v>-17148</v>
      </c>
      <c r="D239" s="197">
        <v>6913</v>
      </c>
      <c r="E239" s="197">
        <v>13462</v>
      </c>
      <c r="F239" s="197">
        <v>256</v>
      </c>
      <c r="G239" s="197">
        <v>0</v>
      </c>
      <c r="H239" s="197">
        <v>19724</v>
      </c>
      <c r="J239" s="197">
        <v>7989</v>
      </c>
      <c r="K239" s="197">
        <v>14141</v>
      </c>
      <c r="L239" s="197">
        <v>9148</v>
      </c>
      <c r="M239" s="197">
        <v>-5501</v>
      </c>
      <c r="N239" s="197">
        <f t="shared" si="6"/>
        <v>3647</v>
      </c>
      <c r="O239" s="162">
        <f t="shared" si="7"/>
        <v>41854</v>
      </c>
    </row>
    <row r="240" spans="1:15" ht="13.8" x14ac:dyDescent="0.25">
      <c r="A240" s="192">
        <v>37605</v>
      </c>
      <c r="B240" s="194" t="s">
        <v>98</v>
      </c>
      <c r="C240" s="197">
        <v>-18863</v>
      </c>
      <c r="D240" s="197">
        <v>7605</v>
      </c>
      <c r="E240" s="197">
        <v>14809</v>
      </c>
      <c r="F240" s="197">
        <v>281</v>
      </c>
      <c r="G240" s="197">
        <v>4418</v>
      </c>
      <c r="H240" s="197">
        <v>21697</v>
      </c>
      <c r="J240" s="197">
        <v>8788</v>
      </c>
      <c r="K240" s="197">
        <v>0</v>
      </c>
      <c r="L240" s="197">
        <v>10063</v>
      </c>
      <c r="M240" s="197">
        <v>1861</v>
      </c>
      <c r="N240" s="197">
        <f t="shared" si="6"/>
        <v>11924</v>
      </c>
      <c r="O240" s="162">
        <f t="shared" si="7"/>
        <v>30485</v>
      </c>
    </row>
    <row r="241" spans="1:15" ht="13.8" x14ac:dyDescent="0.25">
      <c r="A241" s="192">
        <v>37610</v>
      </c>
      <c r="B241" s="194" t="s">
        <v>429</v>
      </c>
      <c r="C241" s="197">
        <v>-48283</v>
      </c>
      <c r="D241" s="197">
        <v>19465</v>
      </c>
      <c r="E241" s="197">
        <v>37905</v>
      </c>
      <c r="F241" s="197">
        <v>720</v>
      </c>
      <c r="G241" s="197">
        <v>3759</v>
      </c>
      <c r="H241" s="197">
        <v>55536</v>
      </c>
      <c r="J241" s="197">
        <v>22495</v>
      </c>
      <c r="K241" s="197">
        <v>3035</v>
      </c>
      <c r="L241" s="197">
        <v>25757</v>
      </c>
      <c r="M241" s="197">
        <v>90</v>
      </c>
      <c r="N241" s="197">
        <f t="shared" si="6"/>
        <v>25847</v>
      </c>
      <c r="O241" s="162">
        <f t="shared" si="7"/>
        <v>81066</v>
      </c>
    </row>
    <row r="242" spans="1:15" ht="13.8" x14ac:dyDescent="0.25">
      <c r="A242" s="192">
        <v>37700</v>
      </c>
      <c r="B242" s="194" t="s">
        <v>430</v>
      </c>
      <c r="C242" s="197">
        <v>-73274</v>
      </c>
      <c r="D242" s="197">
        <v>29540</v>
      </c>
      <c r="E242" s="197">
        <v>57524</v>
      </c>
      <c r="F242" s="197">
        <v>1093</v>
      </c>
      <c r="G242" s="197">
        <v>9735</v>
      </c>
      <c r="H242" s="197">
        <v>84280</v>
      </c>
      <c r="J242" s="197">
        <v>34138</v>
      </c>
      <c r="K242" s="197">
        <v>2535</v>
      </c>
      <c r="L242" s="197">
        <v>39089</v>
      </c>
      <c r="M242" s="197">
        <v>1010</v>
      </c>
      <c r="N242" s="197">
        <f t="shared" si="6"/>
        <v>40099</v>
      </c>
      <c r="O242" s="162">
        <f t="shared" si="7"/>
        <v>120953</v>
      </c>
    </row>
    <row r="243" spans="1:15" ht="13.8" x14ac:dyDescent="0.25">
      <c r="A243" s="192">
        <v>37705</v>
      </c>
      <c r="B243" s="194" t="s">
        <v>99</v>
      </c>
      <c r="C243" s="197">
        <v>-20305</v>
      </c>
      <c r="D243" s="197">
        <v>8186</v>
      </c>
      <c r="E243" s="197">
        <v>15941</v>
      </c>
      <c r="F243" s="197">
        <v>303</v>
      </c>
      <c r="G243" s="197">
        <v>6728</v>
      </c>
      <c r="H243" s="197">
        <v>23356</v>
      </c>
      <c r="J243" s="197">
        <v>9460</v>
      </c>
      <c r="K243" s="197">
        <v>147</v>
      </c>
      <c r="L243" s="197">
        <v>10832</v>
      </c>
      <c r="M243" s="197">
        <v>1917</v>
      </c>
      <c r="N243" s="197">
        <f t="shared" si="6"/>
        <v>12749</v>
      </c>
      <c r="O243" s="162">
        <f t="shared" si="7"/>
        <v>32963</v>
      </c>
    </row>
    <row r="244" spans="1:15" ht="13.8" x14ac:dyDescent="0.25">
      <c r="A244" s="193">
        <v>37800</v>
      </c>
      <c r="B244" s="195" t="s">
        <v>431</v>
      </c>
      <c r="C244" s="198">
        <v>-223278</v>
      </c>
      <c r="D244" s="198">
        <v>90014</v>
      </c>
      <c r="E244" s="198">
        <v>175287</v>
      </c>
      <c r="F244" s="198">
        <v>3330</v>
      </c>
      <c r="G244" s="198">
        <v>48284</v>
      </c>
      <c r="H244" s="198">
        <v>256818</v>
      </c>
      <c r="J244" s="198">
        <v>104024</v>
      </c>
      <c r="K244" s="198">
        <v>19809</v>
      </c>
      <c r="L244" s="198">
        <v>119112</v>
      </c>
      <c r="M244" s="198">
        <v>1648</v>
      </c>
      <c r="N244" s="197">
        <f t="shared" si="6"/>
        <v>120760</v>
      </c>
      <c r="O244" s="162">
        <f t="shared" si="7"/>
        <v>380651</v>
      </c>
    </row>
    <row r="245" spans="1:15" ht="13.8" x14ac:dyDescent="0.25">
      <c r="A245" s="193">
        <v>37801</v>
      </c>
      <c r="B245" s="195" t="s">
        <v>432</v>
      </c>
      <c r="C245" s="198">
        <v>-1903</v>
      </c>
      <c r="D245" s="198">
        <v>767</v>
      </c>
      <c r="E245" s="198">
        <v>1494</v>
      </c>
      <c r="F245" s="198">
        <v>28</v>
      </c>
      <c r="G245" s="198">
        <v>40</v>
      </c>
      <c r="H245" s="198">
        <v>2189</v>
      </c>
      <c r="J245" s="198">
        <v>887</v>
      </c>
      <c r="K245" s="198">
        <v>848</v>
      </c>
      <c r="L245" s="198">
        <v>1015</v>
      </c>
      <c r="M245" s="198">
        <v>-334</v>
      </c>
      <c r="N245" s="197">
        <f t="shared" si="6"/>
        <v>681</v>
      </c>
      <c r="O245" s="162">
        <f t="shared" si="7"/>
        <v>3924</v>
      </c>
    </row>
    <row r="246" spans="1:15" ht="13.8" x14ac:dyDescent="0.25">
      <c r="A246" s="193">
        <v>37805</v>
      </c>
      <c r="B246" s="195" t="s">
        <v>100</v>
      </c>
      <c r="C246" s="198">
        <v>-17665</v>
      </c>
      <c r="D246" s="198">
        <v>7122</v>
      </c>
      <c r="E246" s="198">
        <v>13868</v>
      </c>
      <c r="F246" s="198">
        <v>263</v>
      </c>
      <c r="G246" s="198">
        <v>2505</v>
      </c>
      <c r="H246" s="198">
        <v>20318</v>
      </c>
      <c r="J246" s="198">
        <v>8230</v>
      </c>
      <c r="K246" s="198">
        <v>649</v>
      </c>
      <c r="L246" s="198">
        <v>9424</v>
      </c>
      <c r="M246" s="198">
        <v>1456</v>
      </c>
      <c r="N246" s="197">
        <f t="shared" si="6"/>
        <v>10880</v>
      </c>
      <c r="O246" s="162">
        <f t="shared" si="7"/>
        <v>29197</v>
      </c>
    </row>
    <row r="247" spans="1:15" ht="13.8" x14ac:dyDescent="0.25">
      <c r="A247" s="193">
        <v>37900</v>
      </c>
      <c r="B247" s="195" t="s">
        <v>433</v>
      </c>
      <c r="C247" s="198">
        <v>-117599</v>
      </c>
      <c r="D247" s="198">
        <v>47409</v>
      </c>
      <c r="E247" s="198">
        <v>92322</v>
      </c>
      <c r="F247" s="198">
        <v>1754</v>
      </c>
      <c r="G247" s="198">
        <v>14373</v>
      </c>
      <c r="H247" s="198">
        <v>135264</v>
      </c>
      <c r="J247" s="198">
        <v>54788</v>
      </c>
      <c r="K247" s="198">
        <v>3814</v>
      </c>
      <c r="L247" s="198">
        <v>62735</v>
      </c>
      <c r="M247" s="198">
        <v>6257</v>
      </c>
      <c r="N247" s="197">
        <f t="shared" si="6"/>
        <v>68992</v>
      </c>
      <c r="O247" s="162">
        <f t="shared" si="7"/>
        <v>193866</v>
      </c>
    </row>
    <row r="248" spans="1:15" ht="13.8" x14ac:dyDescent="0.25">
      <c r="A248" s="193">
        <v>37901</v>
      </c>
      <c r="B248" s="195" t="s">
        <v>434</v>
      </c>
      <c r="C248" s="198">
        <v>-4955</v>
      </c>
      <c r="D248" s="198">
        <v>1998</v>
      </c>
      <c r="E248" s="198">
        <v>3890</v>
      </c>
      <c r="F248" s="198">
        <v>74</v>
      </c>
      <c r="G248" s="198">
        <v>0</v>
      </c>
      <c r="H248" s="198">
        <v>5700</v>
      </c>
      <c r="J248" s="198">
        <v>2309</v>
      </c>
      <c r="K248" s="198">
        <v>2428</v>
      </c>
      <c r="L248" s="198">
        <v>2644</v>
      </c>
      <c r="M248" s="198">
        <v>-1323</v>
      </c>
      <c r="N248" s="197">
        <f t="shared" si="6"/>
        <v>1321</v>
      </c>
      <c r="O248" s="162">
        <f t="shared" si="7"/>
        <v>10437</v>
      </c>
    </row>
    <row r="249" spans="1:15" ht="13.8" x14ac:dyDescent="0.25">
      <c r="A249" s="193">
        <v>37905</v>
      </c>
      <c r="B249" s="195" t="s">
        <v>101</v>
      </c>
      <c r="C249" s="198">
        <v>-12439</v>
      </c>
      <c r="D249" s="198">
        <v>5015</v>
      </c>
      <c r="E249" s="198">
        <v>9766</v>
      </c>
      <c r="F249" s="198">
        <v>185</v>
      </c>
      <c r="G249" s="198">
        <v>3582</v>
      </c>
      <c r="H249" s="198">
        <v>14308</v>
      </c>
      <c r="J249" s="198">
        <v>5795</v>
      </c>
      <c r="K249" s="198">
        <v>378</v>
      </c>
      <c r="L249" s="198">
        <v>6636</v>
      </c>
      <c r="M249" s="198">
        <v>2465</v>
      </c>
      <c r="N249" s="197">
        <f t="shared" si="6"/>
        <v>9101</v>
      </c>
      <c r="O249" s="162">
        <f t="shared" si="7"/>
        <v>20481</v>
      </c>
    </row>
    <row r="250" spans="1:15" ht="13.8" x14ac:dyDescent="0.25">
      <c r="A250" s="192">
        <v>38000</v>
      </c>
      <c r="B250" s="194" t="s">
        <v>435</v>
      </c>
      <c r="C250" s="197">
        <v>-186766</v>
      </c>
      <c r="D250" s="197">
        <v>75294</v>
      </c>
      <c r="E250" s="197">
        <v>146623</v>
      </c>
      <c r="F250" s="197">
        <v>2785</v>
      </c>
      <c r="G250" s="197">
        <v>16919</v>
      </c>
      <c r="H250" s="197">
        <v>214821</v>
      </c>
      <c r="J250" s="197">
        <v>87013</v>
      </c>
      <c r="K250" s="197">
        <v>7734</v>
      </c>
      <c r="L250" s="197">
        <v>99634</v>
      </c>
      <c r="M250" s="197">
        <v>4501</v>
      </c>
      <c r="N250" s="197">
        <f t="shared" si="6"/>
        <v>104135</v>
      </c>
      <c r="O250" s="162">
        <f t="shared" si="7"/>
        <v>309568</v>
      </c>
    </row>
    <row r="251" spans="1:15" ht="13.8" x14ac:dyDescent="0.25">
      <c r="A251" s="192">
        <v>38005</v>
      </c>
      <c r="B251" s="194" t="s">
        <v>102</v>
      </c>
      <c r="C251" s="197">
        <v>-41852</v>
      </c>
      <c r="D251" s="197">
        <v>16873</v>
      </c>
      <c r="E251" s="197">
        <v>32857</v>
      </c>
      <c r="F251" s="197">
        <v>624</v>
      </c>
      <c r="G251" s="197">
        <v>1019</v>
      </c>
      <c r="H251" s="197">
        <v>48139</v>
      </c>
      <c r="J251" s="197">
        <v>19499</v>
      </c>
      <c r="K251" s="197">
        <v>2041</v>
      </c>
      <c r="L251" s="197">
        <v>22327</v>
      </c>
      <c r="M251" s="197">
        <v>943</v>
      </c>
      <c r="N251" s="197">
        <f t="shared" si="6"/>
        <v>23270</v>
      </c>
      <c r="O251" s="162">
        <f t="shared" si="7"/>
        <v>69679</v>
      </c>
    </row>
    <row r="252" spans="1:15" ht="13.8" x14ac:dyDescent="0.25">
      <c r="A252" s="192">
        <v>38100</v>
      </c>
      <c r="B252" s="194" t="s">
        <v>436</v>
      </c>
      <c r="C252" s="197">
        <v>-85627</v>
      </c>
      <c r="D252" s="197">
        <v>34520</v>
      </c>
      <c r="E252" s="197">
        <v>67223</v>
      </c>
      <c r="F252" s="197">
        <v>1277</v>
      </c>
      <c r="G252" s="197">
        <v>14748</v>
      </c>
      <c r="H252" s="197">
        <v>98490</v>
      </c>
      <c r="J252" s="197">
        <v>39893</v>
      </c>
      <c r="K252" s="197">
        <v>6699</v>
      </c>
      <c r="L252" s="197">
        <v>45680</v>
      </c>
      <c r="M252" s="197">
        <v>625</v>
      </c>
      <c r="N252" s="197">
        <f t="shared" si="6"/>
        <v>46305</v>
      </c>
      <c r="O252" s="162">
        <f t="shared" si="7"/>
        <v>145082</v>
      </c>
    </row>
    <row r="253" spans="1:15" ht="13.8" x14ac:dyDescent="0.25">
      <c r="A253" s="192">
        <v>38105</v>
      </c>
      <c r="B253" s="194" t="s">
        <v>103</v>
      </c>
      <c r="C253" s="197">
        <v>-15544</v>
      </c>
      <c r="D253" s="197">
        <v>6267</v>
      </c>
      <c r="E253" s="197">
        <v>12203</v>
      </c>
      <c r="F253" s="197">
        <v>232</v>
      </c>
      <c r="G253" s="197">
        <v>4397</v>
      </c>
      <c r="H253" s="197">
        <v>17879</v>
      </c>
      <c r="J253" s="197">
        <v>7242</v>
      </c>
      <c r="K253" s="197">
        <v>0</v>
      </c>
      <c r="L253" s="197">
        <v>8292</v>
      </c>
      <c r="M253" s="197">
        <v>1888</v>
      </c>
      <c r="N253" s="197">
        <f t="shared" si="6"/>
        <v>10180</v>
      </c>
      <c r="O253" s="162">
        <f t="shared" si="7"/>
        <v>25121</v>
      </c>
    </row>
    <row r="254" spans="1:15" ht="13.8" x14ac:dyDescent="0.25">
      <c r="A254" s="192">
        <v>38200</v>
      </c>
      <c r="B254" s="194" t="s">
        <v>437</v>
      </c>
      <c r="C254" s="197">
        <v>-80820</v>
      </c>
      <c r="D254" s="197">
        <v>32582</v>
      </c>
      <c r="E254" s="197">
        <v>63449</v>
      </c>
      <c r="F254" s="197">
        <v>1205</v>
      </c>
      <c r="G254" s="197">
        <v>16009</v>
      </c>
      <c r="H254" s="197">
        <v>92961</v>
      </c>
      <c r="J254" s="197">
        <v>37654</v>
      </c>
      <c r="K254" s="197">
        <v>4355</v>
      </c>
      <c r="L254" s="197">
        <v>43115</v>
      </c>
      <c r="M254" s="197">
        <v>4795</v>
      </c>
      <c r="N254" s="197">
        <f t="shared" si="6"/>
        <v>47910</v>
      </c>
      <c r="O254" s="162">
        <f t="shared" si="7"/>
        <v>134970</v>
      </c>
    </row>
    <row r="255" spans="1:15" ht="13.8" x14ac:dyDescent="0.25">
      <c r="A255" s="192">
        <v>38205</v>
      </c>
      <c r="B255" s="194" t="s">
        <v>104</v>
      </c>
      <c r="C255" s="197">
        <v>-12515</v>
      </c>
      <c r="D255" s="197">
        <v>5045</v>
      </c>
      <c r="E255" s="197">
        <v>9825</v>
      </c>
      <c r="F255" s="197">
        <v>187</v>
      </c>
      <c r="G255" s="197">
        <v>1982</v>
      </c>
      <c r="H255" s="197">
        <v>14395</v>
      </c>
      <c r="J255" s="197">
        <v>5831</v>
      </c>
      <c r="K255" s="197">
        <v>643</v>
      </c>
      <c r="L255" s="197">
        <v>6676</v>
      </c>
      <c r="M255" s="197">
        <v>475</v>
      </c>
      <c r="N255" s="197">
        <f t="shared" si="6"/>
        <v>7151</v>
      </c>
      <c r="O255" s="162">
        <f t="shared" si="7"/>
        <v>20869</v>
      </c>
    </row>
    <row r="256" spans="1:15" ht="13.8" x14ac:dyDescent="0.25">
      <c r="A256" s="193">
        <v>38210</v>
      </c>
      <c r="B256" s="195" t="s">
        <v>438</v>
      </c>
      <c r="C256" s="198">
        <v>-31451</v>
      </c>
      <c r="D256" s="198">
        <v>12679</v>
      </c>
      <c r="E256" s="198">
        <v>24691</v>
      </c>
      <c r="F256" s="198">
        <v>469</v>
      </c>
      <c r="G256" s="198">
        <v>5549</v>
      </c>
      <c r="H256" s="198">
        <v>36175</v>
      </c>
      <c r="J256" s="198">
        <v>14653</v>
      </c>
      <c r="K256" s="198">
        <v>1906</v>
      </c>
      <c r="L256" s="198">
        <v>16778</v>
      </c>
      <c r="M256" s="198">
        <v>866</v>
      </c>
      <c r="N256" s="197">
        <f t="shared" si="6"/>
        <v>17644</v>
      </c>
      <c r="O256" s="162">
        <f t="shared" si="7"/>
        <v>52734</v>
      </c>
    </row>
    <row r="257" spans="1:15" ht="13.8" x14ac:dyDescent="0.25">
      <c r="A257" s="193">
        <v>38300</v>
      </c>
      <c r="B257" s="195" t="s">
        <v>439</v>
      </c>
      <c r="C257" s="198">
        <v>-63679</v>
      </c>
      <c r="D257" s="198">
        <v>25672</v>
      </c>
      <c r="E257" s="198">
        <v>49992</v>
      </c>
      <c r="F257" s="198">
        <v>950</v>
      </c>
      <c r="G257" s="198">
        <v>8884</v>
      </c>
      <c r="H257" s="198">
        <v>73244</v>
      </c>
      <c r="J257" s="198">
        <v>29668</v>
      </c>
      <c r="K257" s="198">
        <v>4420</v>
      </c>
      <c r="L257" s="198">
        <v>33971</v>
      </c>
      <c r="M257" s="198">
        <v>1342</v>
      </c>
      <c r="N257" s="197">
        <f t="shared" si="6"/>
        <v>35313</v>
      </c>
      <c r="O257" s="162">
        <f t="shared" si="7"/>
        <v>107332</v>
      </c>
    </row>
    <row r="258" spans="1:15" ht="13.8" x14ac:dyDescent="0.25">
      <c r="A258" s="193">
        <v>38400</v>
      </c>
      <c r="B258" s="195" t="s">
        <v>440</v>
      </c>
      <c r="C258" s="198">
        <v>-82539</v>
      </c>
      <c r="D258" s="198">
        <v>33275</v>
      </c>
      <c r="E258" s="198">
        <v>64798</v>
      </c>
      <c r="F258" s="198">
        <v>1231</v>
      </c>
      <c r="G258" s="198">
        <v>12503</v>
      </c>
      <c r="H258" s="198">
        <v>94938</v>
      </c>
      <c r="J258" s="198">
        <v>38454</v>
      </c>
      <c r="K258" s="198">
        <v>4673</v>
      </c>
      <c r="L258" s="198">
        <v>44032</v>
      </c>
      <c r="M258" s="198">
        <v>2006</v>
      </c>
      <c r="N258" s="197">
        <f t="shared" si="6"/>
        <v>46038</v>
      </c>
      <c r="O258" s="162">
        <f t="shared" si="7"/>
        <v>138065</v>
      </c>
    </row>
    <row r="259" spans="1:15" ht="13.8" x14ac:dyDescent="0.25">
      <c r="A259" s="193">
        <v>38402</v>
      </c>
      <c r="B259" s="195" t="s">
        <v>441</v>
      </c>
      <c r="C259" s="198">
        <v>-5927</v>
      </c>
      <c r="D259" s="198">
        <v>2389</v>
      </c>
      <c r="E259" s="198">
        <v>4653</v>
      </c>
      <c r="F259" s="198">
        <v>88</v>
      </c>
      <c r="G259" s="198">
        <v>331</v>
      </c>
      <c r="H259" s="198">
        <v>6817</v>
      </c>
      <c r="J259" s="198">
        <v>2761</v>
      </c>
      <c r="K259" s="198">
        <v>1123</v>
      </c>
      <c r="L259" s="198">
        <v>3162</v>
      </c>
      <c r="M259" s="198">
        <v>-1380</v>
      </c>
      <c r="N259" s="197">
        <f t="shared" si="6"/>
        <v>1782</v>
      </c>
      <c r="O259" s="162">
        <f t="shared" si="7"/>
        <v>10701</v>
      </c>
    </row>
    <row r="260" spans="1:15" ht="13.8" x14ac:dyDescent="0.25">
      <c r="A260" s="193">
        <v>38405</v>
      </c>
      <c r="B260" s="195" t="s">
        <v>105</v>
      </c>
      <c r="C260" s="198">
        <v>-19301</v>
      </c>
      <c r="D260" s="198">
        <v>7781</v>
      </c>
      <c r="E260" s="198">
        <v>15153</v>
      </c>
      <c r="F260" s="198">
        <v>288</v>
      </c>
      <c r="G260" s="198">
        <v>4220</v>
      </c>
      <c r="H260" s="198">
        <v>22201</v>
      </c>
      <c r="J260" s="198">
        <v>8992</v>
      </c>
      <c r="K260" s="198">
        <v>64</v>
      </c>
      <c r="L260" s="198">
        <v>10297</v>
      </c>
      <c r="M260" s="198">
        <v>933</v>
      </c>
      <c r="N260" s="197">
        <f t="shared" si="6"/>
        <v>11230</v>
      </c>
      <c r="O260" s="162">
        <f t="shared" si="7"/>
        <v>31257</v>
      </c>
    </row>
    <row r="261" spans="1:15" ht="13.8" x14ac:dyDescent="0.25">
      <c r="A261" s="193">
        <v>38500</v>
      </c>
      <c r="B261" s="195" t="s">
        <v>442</v>
      </c>
      <c r="C261" s="198">
        <v>-61170</v>
      </c>
      <c r="D261" s="198">
        <v>24660</v>
      </c>
      <c r="E261" s="198">
        <v>48022</v>
      </c>
      <c r="F261" s="198">
        <v>912</v>
      </c>
      <c r="G261" s="198">
        <v>10723</v>
      </c>
      <c r="H261" s="198">
        <v>70359</v>
      </c>
      <c r="J261" s="198">
        <v>28499</v>
      </c>
      <c r="K261" s="198">
        <v>1990</v>
      </c>
      <c r="L261" s="198">
        <v>32632</v>
      </c>
      <c r="M261" s="198">
        <v>3749</v>
      </c>
      <c r="N261" s="197">
        <f t="shared" ref="N261:N300" si="8">SUM(L261+M261)</f>
        <v>36381</v>
      </c>
      <c r="O261" s="162">
        <f t="shared" ref="O261:O300" si="9">SUM(H261:K261)</f>
        <v>100848</v>
      </c>
    </row>
    <row r="262" spans="1:15" ht="13.8" x14ac:dyDescent="0.25">
      <c r="A262" s="192">
        <v>38600</v>
      </c>
      <c r="B262" s="194" t="s">
        <v>443</v>
      </c>
      <c r="C262" s="197">
        <v>-76099</v>
      </c>
      <c r="D262" s="197">
        <v>30679</v>
      </c>
      <c r="E262" s="197">
        <v>59742</v>
      </c>
      <c r="F262" s="197">
        <v>1135</v>
      </c>
      <c r="G262" s="197">
        <v>16975</v>
      </c>
      <c r="H262" s="197">
        <v>87530</v>
      </c>
      <c r="J262" s="197">
        <v>35454</v>
      </c>
      <c r="K262" s="197">
        <v>5098</v>
      </c>
      <c r="L262" s="197">
        <v>40596</v>
      </c>
      <c r="M262" s="197">
        <v>4811</v>
      </c>
      <c r="N262" s="197">
        <f t="shared" si="8"/>
        <v>45407</v>
      </c>
      <c r="O262" s="162">
        <f t="shared" si="9"/>
        <v>128082</v>
      </c>
    </row>
    <row r="263" spans="1:15" ht="13.8" x14ac:dyDescent="0.25">
      <c r="A263" s="192">
        <v>38601</v>
      </c>
      <c r="B263" s="194" t="s">
        <v>444</v>
      </c>
      <c r="C263" s="197">
        <v>0</v>
      </c>
      <c r="D263" s="197">
        <v>0</v>
      </c>
      <c r="E263" s="197">
        <v>0</v>
      </c>
      <c r="F263" s="197">
        <v>0</v>
      </c>
      <c r="G263" s="197">
        <v>1078</v>
      </c>
      <c r="H263" s="197">
        <v>0</v>
      </c>
      <c r="J263" s="197">
        <v>0</v>
      </c>
      <c r="K263" s="197">
        <v>152</v>
      </c>
      <c r="L263" s="197">
        <v>0</v>
      </c>
      <c r="M263" s="197">
        <v>202</v>
      </c>
      <c r="N263" s="197">
        <f t="shared" si="8"/>
        <v>202</v>
      </c>
      <c r="O263" s="162">
        <f t="shared" si="9"/>
        <v>152</v>
      </c>
    </row>
    <row r="264" spans="1:15" ht="13.8" x14ac:dyDescent="0.25">
      <c r="A264" s="192">
        <v>38602</v>
      </c>
      <c r="B264" s="194" t="s">
        <v>445</v>
      </c>
      <c r="C264" s="197">
        <v>-5683</v>
      </c>
      <c r="D264" s="197">
        <v>2291</v>
      </c>
      <c r="E264" s="197">
        <v>4462</v>
      </c>
      <c r="F264" s="197">
        <v>85</v>
      </c>
      <c r="G264" s="197">
        <v>772</v>
      </c>
      <c r="H264" s="197">
        <v>6537</v>
      </c>
      <c r="J264" s="197">
        <v>2648</v>
      </c>
      <c r="K264" s="197">
        <v>347</v>
      </c>
      <c r="L264" s="197">
        <v>3032</v>
      </c>
      <c r="M264" s="197">
        <v>-161</v>
      </c>
      <c r="N264" s="197">
        <f t="shared" si="8"/>
        <v>2871</v>
      </c>
      <c r="O264" s="162">
        <f t="shared" si="9"/>
        <v>9532</v>
      </c>
    </row>
    <row r="265" spans="1:15" ht="13.8" x14ac:dyDescent="0.25">
      <c r="A265" s="192">
        <v>38605</v>
      </c>
      <c r="B265" s="194" t="s">
        <v>106</v>
      </c>
      <c r="C265" s="197">
        <v>-21270</v>
      </c>
      <c r="D265" s="197">
        <v>8575</v>
      </c>
      <c r="E265" s="197">
        <v>16698</v>
      </c>
      <c r="F265" s="197">
        <v>317</v>
      </c>
      <c r="G265" s="197">
        <v>3925</v>
      </c>
      <c r="H265" s="197">
        <v>24465</v>
      </c>
      <c r="J265" s="197">
        <v>9910</v>
      </c>
      <c r="K265" s="197">
        <v>1837</v>
      </c>
      <c r="L265" s="197">
        <v>11347</v>
      </c>
      <c r="M265" s="197">
        <v>1716</v>
      </c>
      <c r="N265" s="197">
        <f t="shared" si="8"/>
        <v>13063</v>
      </c>
      <c r="O265" s="162">
        <f t="shared" si="9"/>
        <v>36212</v>
      </c>
    </row>
    <row r="266" spans="1:15" ht="13.8" x14ac:dyDescent="0.25">
      <c r="A266" s="192">
        <v>38610</v>
      </c>
      <c r="B266" s="194" t="s">
        <v>446</v>
      </c>
      <c r="C266" s="197">
        <v>-20213</v>
      </c>
      <c r="D266" s="197">
        <v>8149</v>
      </c>
      <c r="E266" s="197">
        <v>15869</v>
      </c>
      <c r="F266" s="197">
        <v>301</v>
      </c>
      <c r="G266" s="197">
        <v>236</v>
      </c>
      <c r="H266" s="197">
        <v>23250</v>
      </c>
      <c r="J266" s="197">
        <v>9417</v>
      </c>
      <c r="K266" s="197">
        <v>3451</v>
      </c>
      <c r="L266" s="197">
        <v>10783</v>
      </c>
      <c r="M266" s="197">
        <v>-1459</v>
      </c>
      <c r="N266" s="197">
        <f t="shared" si="8"/>
        <v>9324</v>
      </c>
      <c r="O266" s="162">
        <f t="shared" si="9"/>
        <v>36118</v>
      </c>
    </row>
    <row r="267" spans="1:15" ht="13.8" x14ac:dyDescent="0.25">
      <c r="A267" s="192">
        <v>38620</v>
      </c>
      <c r="B267" s="194" t="s">
        <v>447</v>
      </c>
      <c r="C267" s="197">
        <v>-13529</v>
      </c>
      <c r="D267" s="197">
        <v>5454</v>
      </c>
      <c r="E267" s="197">
        <v>10621</v>
      </c>
      <c r="F267" s="197">
        <v>202</v>
      </c>
      <c r="G267" s="197">
        <v>2424</v>
      </c>
      <c r="H267" s="197">
        <v>15562</v>
      </c>
      <c r="J267" s="197">
        <v>6303</v>
      </c>
      <c r="K267" s="197">
        <v>839</v>
      </c>
      <c r="L267" s="197">
        <v>7217</v>
      </c>
      <c r="M267" s="197">
        <v>961</v>
      </c>
      <c r="N267" s="197">
        <f t="shared" si="8"/>
        <v>8178</v>
      </c>
      <c r="O267" s="162">
        <f t="shared" si="9"/>
        <v>22704</v>
      </c>
    </row>
    <row r="268" spans="1:15" ht="13.8" x14ac:dyDescent="0.25">
      <c r="A268" s="193">
        <v>38700</v>
      </c>
      <c r="B268" s="195" t="s">
        <v>448</v>
      </c>
      <c r="C268" s="198">
        <v>-24688</v>
      </c>
      <c r="D268" s="198">
        <v>9953</v>
      </c>
      <c r="E268" s="198">
        <v>19382</v>
      </c>
      <c r="F268" s="198">
        <v>368</v>
      </c>
      <c r="G268" s="198">
        <v>1264</v>
      </c>
      <c r="H268" s="198">
        <v>28396</v>
      </c>
      <c r="J268" s="198">
        <v>11502</v>
      </c>
      <c r="K268" s="198">
        <v>1919</v>
      </c>
      <c r="L268" s="198">
        <v>13170</v>
      </c>
      <c r="M268" s="198">
        <v>-659</v>
      </c>
      <c r="N268" s="197">
        <f t="shared" si="8"/>
        <v>12511</v>
      </c>
      <c r="O268" s="162">
        <f t="shared" si="9"/>
        <v>41817</v>
      </c>
    </row>
    <row r="269" spans="1:15" ht="13.8" x14ac:dyDescent="0.25">
      <c r="A269" s="193">
        <v>38701</v>
      </c>
      <c r="B269" s="195" t="s">
        <v>449</v>
      </c>
      <c r="C269" s="198">
        <v>-2315</v>
      </c>
      <c r="D269" s="198">
        <v>933</v>
      </c>
      <c r="E269" s="198">
        <v>1817</v>
      </c>
      <c r="F269" s="198">
        <v>35</v>
      </c>
      <c r="G269" s="198">
        <v>236</v>
      </c>
      <c r="H269" s="198">
        <v>2662</v>
      </c>
      <c r="J269" s="198">
        <v>1078</v>
      </c>
      <c r="K269" s="198">
        <v>1071</v>
      </c>
      <c r="L269" s="198">
        <v>1235</v>
      </c>
      <c r="M269" s="198">
        <v>-430</v>
      </c>
      <c r="N269" s="197">
        <f t="shared" si="8"/>
        <v>805</v>
      </c>
      <c r="O269" s="162">
        <f t="shared" si="9"/>
        <v>4811</v>
      </c>
    </row>
    <row r="270" spans="1:15" ht="13.8" x14ac:dyDescent="0.25">
      <c r="A270" s="193">
        <v>38800</v>
      </c>
      <c r="B270" s="195" t="s">
        <v>450</v>
      </c>
      <c r="C270" s="198">
        <v>-43377</v>
      </c>
      <c r="D270" s="198">
        <v>17487</v>
      </c>
      <c r="E270" s="198">
        <v>34053</v>
      </c>
      <c r="F270" s="198">
        <v>647</v>
      </c>
      <c r="G270" s="198">
        <v>2243</v>
      </c>
      <c r="H270" s="198">
        <v>49893</v>
      </c>
      <c r="J270" s="198">
        <v>20209</v>
      </c>
      <c r="K270" s="198">
        <v>4011</v>
      </c>
      <c r="L270" s="198">
        <v>23140</v>
      </c>
      <c r="M270" s="198">
        <v>-729</v>
      </c>
      <c r="N270" s="197">
        <f t="shared" si="8"/>
        <v>22411</v>
      </c>
      <c r="O270" s="162">
        <f t="shared" si="9"/>
        <v>74113</v>
      </c>
    </row>
    <row r="271" spans="1:15" ht="13.8" x14ac:dyDescent="0.25">
      <c r="A271" s="193">
        <v>38801</v>
      </c>
      <c r="B271" s="195" t="s">
        <v>451</v>
      </c>
      <c r="C271" s="198">
        <v>-4550</v>
      </c>
      <c r="D271" s="198">
        <v>1834</v>
      </c>
      <c r="E271" s="198">
        <v>3572</v>
      </c>
      <c r="F271" s="198">
        <v>68</v>
      </c>
      <c r="G271" s="198">
        <v>1242</v>
      </c>
      <c r="H271" s="198">
        <v>5234</v>
      </c>
      <c r="J271" s="198">
        <v>2120</v>
      </c>
      <c r="K271" s="198">
        <v>3182</v>
      </c>
      <c r="L271" s="198">
        <v>2427</v>
      </c>
      <c r="M271" s="198">
        <v>-778</v>
      </c>
      <c r="N271" s="197">
        <f t="shared" si="8"/>
        <v>1649</v>
      </c>
      <c r="O271" s="162">
        <f t="shared" si="9"/>
        <v>10536</v>
      </c>
    </row>
    <row r="272" spans="1:15" ht="13.8" x14ac:dyDescent="0.25">
      <c r="A272" s="193">
        <v>38900</v>
      </c>
      <c r="B272" s="195" t="s">
        <v>452</v>
      </c>
      <c r="C272" s="198">
        <v>-8465</v>
      </c>
      <c r="D272" s="198">
        <v>3413</v>
      </c>
      <c r="E272" s="198">
        <v>6646</v>
      </c>
      <c r="F272" s="198">
        <v>126</v>
      </c>
      <c r="G272" s="198">
        <v>736</v>
      </c>
      <c r="H272" s="198">
        <v>9737</v>
      </c>
      <c r="J272" s="198">
        <v>3944</v>
      </c>
      <c r="K272" s="198">
        <v>505</v>
      </c>
      <c r="L272" s="198">
        <v>4516</v>
      </c>
      <c r="M272" s="198">
        <v>467</v>
      </c>
      <c r="N272" s="197">
        <f t="shared" si="8"/>
        <v>4983</v>
      </c>
      <c r="O272" s="162">
        <f t="shared" si="9"/>
        <v>14186</v>
      </c>
    </row>
    <row r="273" spans="1:15" ht="13.8" x14ac:dyDescent="0.25">
      <c r="A273" s="193">
        <v>39000</v>
      </c>
      <c r="B273" s="195" t="s">
        <v>453</v>
      </c>
      <c r="C273" s="198">
        <v>-417054</v>
      </c>
      <c r="D273" s="198">
        <v>168134</v>
      </c>
      <c r="E273" s="198">
        <v>327414</v>
      </c>
      <c r="F273" s="198">
        <v>6219</v>
      </c>
      <c r="G273" s="198">
        <v>39666</v>
      </c>
      <c r="H273" s="198">
        <v>479702</v>
      </c>
      <c r="J273" s="198">
        <v>194303</v>
      </c>
      <c r="K273" s="198">
        <v>34483</v>
      </c>
      <c r="L273" s="198">
        <v>222485</v>
      </c>
      <c r="M273" s="198">
        <v>-3655</v>
      </c>
      <c r="N273" s="197">
        <f t="shared" si="8"/>
        <v>218830</v>
      </c>
      <c r="O273" s="162">
        <f t="shared" si="9"/>
        <v>708488</v>
      </c>
    </row>
    <row r="274" spans="1:15" ht="13.8" x14ac:dyDescent="0.25">
      <c r="A274" s="192">
        <v>39100</v>
      </c>
      <c r="B274" s="194" t="s">
        <v>454</v>
      </c>
      <c r="C274" s="197">
        <v>-52761</v>
      </c>
      <c r="D274" s="197">
        <v>21270</v>
      </c>
      <c r="E274" s="197">
        <v>41420</v>
      </c>
      <c r="F274" s="197">
        <v>787</v>
      </c>
      <c r="G274" s="197">
        <v>22396</v>
      </c>
      <c r="H274" s="197">
        <v>60686</v>
      </c>
      <c r="J274" s="197">
        <v>24581</v>
      </c>
      <c r="K274" s="197">
        <v>40</v>
      </c>
      <c r="L274" s="197">
        <v>28146</v>
      </c>
      <c r="M274" s="197">
        <v>8104</v>
      </c>
      <c r="N274" s="197">
        <f t="shared" si="8"/>
        <v>36250</v>
      </c>
      <c r="O274" s="162">
        <f t="shared" si="9"/>
        <v>85307</v>
      </c>
    </row>
    <row r="275" spans="1:15" ht="13.8" x14ac:dyDescent="0.25">
      <c r="A275" s="192">
        <v>39101</v>
      </c>
      <c r="B275" s="194" t="s">
        <v>455</v>
      </c>
      <c r="C275" s="197">
        <v>-7751</v>
      </c>
      <c r="D275" s="197">
        <v>3125</v>
      </c>
      <c r="E275" s="197">
        <v>6085</v>
      </c>
      <c r="F275" s="197">
        <v>116</v>
      </c>
      <c r="G275" s="197">
        <v>538</v>
      </c>
      <c r="H275" s="197">
        <v>8915</v>
      </c>
      <c r="J275" s="197">
        <v>3611</v>
      </c>
      <c r="K275" s="197">
        <v>2134</v>
      </c>
      <c r="L275" s="197">
        <v>4135</v>
      </c>
      <c r="M275" s="197">
        <v>-698</v>
      </c>
      <c r="N275" s="197">
        <f t="shared" si="8"/>
        <v>3437</v>
      </c>
      <c r="O275" s="162">
        <f t="shared" si="9"/>
        <v>14660</v>
      </c>
    </row>
    <row r="276" spans="1:15" ht="13.8" x14ac:dyDescent="0.25">
      <c r="A276" s="192">
        <v>39105</v>
      </c>
      <c r="B276" s="194" t="s">
        <v>107</v>
      </c>
      <c r="C276" s="197">
        <v>-20938</v>
      </c>
      <c r="D276" s="197">
        <v>8441</v>
      </c>
      <c r="E276" s="197">
        <v>16437</v>
      </c>
      <c r="F276" s="197">
        <v>312</v>
      </c>
      <c r="G276" s="197">
        <v>7982</v>
      </c>
      <c r="H276" s="197">
        <v>24083</v>
      </c>
      <c r="J276" s="197">
        <v>9755</v>
      </c>
      <c r="K276" s="197">
        <v>145</v>
      </c>
      <c r="L276" s="197">
        <v>11170</v>
      </c>
      <c r="M276" s="197">
        <v>4033</v>
      </c>
      <c r="N276" s="197">
        <f t="shared" si="8"/>
        <v>15203</v>
      </c>
      <c r="O276" s="162">
        <f t="shared" si="9"/>
        <v>33983</v>
      </c>
    </row>
    <row r="277" spans="1:15" ht="13.8" x14ac:dyDescent="0.25">
      <c r="A277" s="192">
        <v>39200</v>
      </c>
      <c r="B277" s="194" t="s">
        <v>456</v>
      </c>
      <c r="C277" s="197">
        <v>-1926810</v>
      </c>
      <c r="D277" s="197">
        <v>776787</v>
      </c>
      <c r="E277" s="197">
        <v>1512668</v>
      </c>
      <c r="F277" s="197">
        <v>28733</v>
      </c>
      <c r="G277" s="197">
        <v>4287</v>
      </c>
      <c r="H277" s="197">
        <v>2216247</v>
      </c>
      <c r="J277" s="197">
        <v>897688</v>
      </c>
      <c r="K277" s="197">
        <v>154086</v>
      </c>
      <c r="L277" s="197">
        <v>1027893</v>
      </c>
      <c r="M277" s="197">
        <v>-87244</v>
      </c>
      <c r="N277" s="197">
        <f t="shared" si="8"/>
        <v>940649</v>
      </c>
      <c r="O277" s="162">
        <f t="shared" si="9"/>
        <v>3268021</v>
      </c>
    </row>
    <row r="278" spans="1:15" ht="13.8" x14ac:dyDescent="0.25">
      <c r="A278" s="192">
        <v>39201</v>
      </c>
      <c r="B278" s="194" t="s">
        <v>457</v>
      </c>
      <c r="C278" s="197">
        <v>-8152</v>
      </c>
      <c r="D278" s="197">
        <v>3287</v>
      </c>
      <c r="E278" s="197">
        <v>6400</v>
      </c>
      <c r="F278" s="197">
        <v>122</v>
      </c>
      <c r="G278" s="197">
        <v>190</v>
      </c>
      <c r="H278" s="197">
        <v>9377</v>
      </c>
      <c r="J278" s="197">
        <v>3798</v>
      </c>
      <c r="K278" s="197">
        <v>3816</v>
      </c>
      <c r="L278" s="197">
        <v>4349</v>
      </c>
      <c r="M278" s="197">
        <v>-1899</v>
      </c>
      <c r="N278" s="197">
        <f t="shared" si="8"/>
        <v>2450</v>
      </c>
      <c r="O278" s="162">
        <f t="shared" si="9"/>
        <v>16991</v>
      </c>
    </row>
    <row r="279" spans="1:15" ht="13.8" x14ac:dyDescent="0.25">
      <c r="A279" s="192">
        <v>39204</v>
      </c>
      <c r="B279" s="194" t="s">
        <v>458</v>
      </c>
      <c r="C279" s="197">
        <v>-6450</v>
      </c>
      <c r="D279" s="197">
        <v>2600</v>
      </c>
      <c r="E279" s="197">
        <v>5064</v>
      </c>
      <c r="F279" s="197">
        <v>96</v>
      </c>
      <c r="G279" s="197">
        <v>1847</v>
      </c>
      <c r="H279" s="197">
        <v>7419</v>
      </c>
      <c r="J279" s="197">
        <v>3005</v>
      </c>
      <c r="K279" s="197">
        <v>5938</v>
      </c>
      <c r="L279" s="197">
        <v>3441</v>
      </c>
      <c r="M279" s="197">
        <v>-2162</v>
      </c>
      <c r="N279" s="197">
        <f t="shared" si="8"/>
        <v>1279</v>
      </c>
      <c r="O279" s="162">
        <f t="shared" si="9"/>
        <v>16362</v>
      </c>
    </row>
    <row r="280" spans="1:15" ht="13.8" x14ac:dyDescent="0.25">
      <c r="A280" s="193">
        <v>39205</v>
      </c>
      <c r="B280" s="195" t="s">
        <v>108</v>
      </c>
      <c r="C280" s="198">
        <v>-167995</v>
      </c>
      <c r="D280" s="198">
        <v>67727</v>
      </c>
      <c r="E280" s="198">
        <v>131887</v>
      </c>
      <c r="F280" s="198">
        <v>2505</v>
      </c>
      <c r="G280" s="198">
        <v>14084</v>
      </c>
      <c r="H280" s="198">
        <v>193231</v>
      </c>
      <c r="J280" s="198">
        <v>78268</v>
      </c>
      <c r="K280" s="198">
        <v>24859</v>
      </c>
      <c r="L280" s="198">
        <v>89620</v>
      </c>
      <c r="M280" s="198">
        <v>-2013</v>
      </c>
      <c r="N280" s="197">
        <f t="shared" si="8"/>
        <v>87607</v>
      </c>
      <c r="O280" s="162">
        <f t="shared" si="9"/>
        <v>296358</v>
      </c>
    </row>
    <row r="281" spans="1:15" ht="13.8" x14ac:dyDescent="0.25">
      <c r="A281" s="193">
        <v>39208</v>
      </c>
      <c r="B281" s="195" t="s">
        <v>459</v>
      </c>
      <c r="C281" s="198">
        <v>-12206</v>
      </c>
      <c r="D281" s="198">
        <v>4921</v>
      </c>
      <c r="E281" s="198">
        <v>9582</v>
      </c>
      <c r="F281" s="198">
        <v>182</v>
      </c>
      <c r="G281" s="198">
        <v>393</v>
      </c>
      <c r="H281" s="198">
        <v>14039</v>
      </c>
      <c r="J281" s="198">
        <v>5687</v>
      </c>
      <c r="K281" s="198">
        <v>3806</v>
      </c>
      <c r="L281" s="198">
        <v>6511</v>
      </c>
      <c r="M281" s="198">
        <v>-1883</v>
      </c>
      <c r="N281" s="197">
        <f t="shared" si="8"/>
        <v>4628</v>
      </c>
      <c r="O281" s="162">
        <f t="shared" si="9"/>
        <v>23532</v>
      </c>
    </row>
    <row r="282" spans="1:15" ht="13.8" x14ac:dyDescent="0.25">
      <c r="A282" s="193">
        <v>39209</v>
      </c>
      <c r="B282" s="195" t="s">
        <v>460</v>
      </c>
      <c r="C282" s="198">
        <v>0</v>
      </c>
      <c r="D282" s="198">
        <v>0</v>
      </c>
      <c r="E282" s="198">
        <v>0</v>
      </c>
      <c r="F282" s="198">
        <v>0</v>
      </c>
      <c r="G282" s="198">
        <v>5756</v>
      </c>
      <c r="H282" s="198">
        <v>0</v>
      </c>
      <c r="J282" s="198">
        <v>0</v>
      </c>
      <c r="K282" s="198">
        <v>1460</v>
      </c>
      <c r="L282" s="198">
        <v>0</v>
      </c>
      <c r="M282" s="198">
        <v>1590</v>
      </c>
      <c r="N282" s="197">
        <f t="shared" si="8"/>
        <v>1590</v>
      </c>
      <c r="O282" s="162">
        <f t="shared" si="9"/>
        <v>1460</v>
      </c>
    </row>
    <row r="283" spans="1:15" ht="13.8" x14ac:dyDescent="0.25">
      <c r="A283" s="193">
        <v>39220</v>
      </c>
      <c r="B283" s="195" t="s">
        <v>461</v>
      </c>
      <c r="C283" s="198">
        <v>0</v>
      </c>
      <c r="D283" s="198">
        <v>0</v>
      </c>
      <c r="E283" s="198">
        <v>0</v>
      </c>
      <c r="F283" s="198">
        <v>0</v>
      </c>
      <c r="G283" s="198">
        <v>883</v>
      </c>
      <c r="H283" s="198">
        <v>0</v>
      </c>
      <c r="J283" s="198">
        <v>0</v>
      </c>
      <c r="K283" s="198">
        <v>2855</v>
      </c>
      <c r="L283" s="198">
        <v>0</v>
      </c>
      <c r="M283" s="198">
        <v>-166</v>
      </c>
      <c r="N283" s="197">
        <f t="shared" si="8"/>
        <v>-166</v>
      </c>
      <c r="O283" s="162">
        <f t="shared" si="9"/>
        <v>2855</v>
      </c>
    </row>
    <row r="284" spans="1:15" ht="13.8" x14ac:dyDescent="0.25">
      <c r="A284" s="193">
        <v>39300</v>
      </c>
      <c r="B284" s="195" t="s">
        <v>462</v>
      </c>
      <c r="C284" s="198">
        <v>-22209</v>
      </c>
      <c r="D284" s="198">
        <v>8953</v>
      </c>
      <c r="E284" s="198">
        <v>17435</v>
      </c>
      <c r="F284" s="198">
        <v>331</v>
      </c>
      <c r="G284" s="198">
        <v>9185</v>
      </c>
      <c r="H284" s="198">
        <v>25545</v>
      </c>
      <c r="J284" s="198">
        <v>10347</v>
      </c>
      <c r="K284" s="198">
        <v>744</v>
      </c>
      <c r="L284" s="198">
        <v>11848</v>
      </c>
      <c r="M284" s="198">
        <v>2591</v>
      </c>
      <c r="N284" s="197">
        <f t="shared" si="8"/>
        <v>14439</v>
      </c>
      <c r="O284" s="162">
        <f t="shared" si="9"/>
        <v>36636</v>
      </c>
    </row>
    <row r="285" spans="1:15" ht="13.8" x14ac:dyDescent="0.25">
      <c r="A285" s="193">
        <v>39301</v>
      </c>
      <c r="B285" s="195" t="s">
        <v>463</v>
      </c>
      <c r="C285" s="198">
        <v>-1686</v>
      </c>
      <c r="D285" s="198">
        <v>680</v>
      </c>
      <c r="E285" s="198">
        <v>1323</v>
      </c>
      <c r="F285" s="198">
        <v>25</v>
      </c>
      <c r="G285" s="198">
        <v>457</v>
      </c>
      <c r="H285" s="198">
        <v>1939</v>
      </c>
      <c r="J285" s="198">
        <v>785</v>
      </c>
      <c r="K285" s="198">
        <v>835</v>
      </c>
      <c r="L285" s="198">
        <v>899</v>
      </c>
      <c r="M285" s="198">
        <v>-27</v>
      </c>
      <c r="N285" s="197">
        <f t="shared" si="8"/>
        <v>872</v>
      </c>
      <c r="O285" s="162">
        <f t="shared" si="9"/>
        <v>3559</v>
      </c>
    </row>
    <row r="286" spans="1:15" ht="13.8" x14ac:dyDescent="0.25">
      <c r="A286" s="192">
        <v>39400</v>
      </c>
      <c r="B286" s="194" t="s">
        <v>464</v>
      </c>
      <c r="C286" s="197">
        <v>-12815</v>
      </c>
      <c r="D286" s="197">
        <v>5166</v>
      </c>
      <c r="E286" s="197">
        <v>10060</v>
      </c>
      <c r="F286" s="197">
        <v>191</v>
      </c>
      <c r="G286" s="197">
        <v>8552</v>
      </c>
      <c r="H286" s="197">
        <v>14740</v>
      </c>
      <c r="J286" s="197">
        <v>5970</v>
      </c>
      <c r="K286" s="197">
        <v>0</v>
      </c>
      <c r="L286" s="197">
        <v>6836</v>
      </c>
      <c r="M286" s="197">
        <v>3127</v>
      </c>
      <c r="N286" s="197">
        <f t="shared" si="8"/>
        <v>9963</v>
      </c>
      <c r="O286" s="162">
        <f t="shared" si="9"/>
        <v>20710</v>
      </c>
    </row>
    <row r="287" spans="1:15" ht="13.8" x14ac:dyDescent="0.25">
      <c r="A287" s="192">
        <v>39401</v>
      </c>
      <c r="B287" s="194" t="s">
        <v>465</v>
      </c>
      <c r="C287" s="197">
        <v>-17408</v>
      </c>
      <c r="D287" s="197">
        <v>7018</v>
      </c>
      <c r="E287" s="197">
        <v>13666</v>
      </c>
      <c r="F287" s="197">
        <v>260</v>
      </c>
      <c r="G287" s="197">
        <v>0</v>
      </c>
      <c r="H287" s="197">
        <v>20023</v>
      </c>
      <c r="J287" s="197">
        <v>8110</v>
      </c>
      <c r="K287" s="197">
        <v>11810</v>
      </c>
      <c r="L287" s="197">
        <v>9287</v>
      </c>
      <c r="M287" s="197">
        <v>-5534</v>
      </c>
      <c r="N287" s="197">
        <f t="shared" si="8"/>
        <v>3753</v>
      </c>
      <c r="O287" s="162">
        <f t="shared" si="9"/>
        <v>39943</v>
      </c>
    </row>
    <row r="288" spans="1:15" ht="13.8" x14ac:dyDescent="0.25">
      <c r="A288" s="192">
        <v>39500</v>
      </c>
      <c r="B288" s="194" t="s">
        <v>466</v>
      </c>
      <c r="C288" s="197">
        <v>-62833</v>
      </c>
      <c r="D288" s="197">
        <v>25331</v>
      </c>
      <c r="E288" s="197">
        <v>49328</v>
      </c>
      <c r="F288" s="197">
        <v>937</v>
      </c>
      <c r="G288" s="197">
        <v>1148</v>
      </c>
      <c r="H288" s="197">
        <v>72271</v>
      </c>
      <c r="J288" s="197">
        <v>29273</v>
      </c>
      <c r="K288" s="197">
        <v>14098</v>
      </c>
      <c r="L288" s="197">
        <v>33519</v>
      </c>
      <c r="M288" s="197">
        <v>-5011</v>
      </c>
      <c r="N288" s="197">
        <f t="shared" si="8"/>
        <v>28508</v>
      </c>
      <c r="O288" s="162">
        <f t="shared" si="9"/>
        <v>115642</v>
      </c>
    </row>
    <row r="289" spans="1:15" ht="13.8" x14ac:dyDescent="0.25">
      <c r="A289" s="192">
        <v>39501</v>
      </c>
      <c r="B289" s="194" t="s">
        <v>467</v>
      </c>
      <c r="C289" s="197">
        <v>-1465</v>
      </c>
      <c r="D289" s="197">
        <v>591</v>
      </c>
      <c r="E289" s="197">
        <v>1150</v>
      </c>
      <c r="F289" s="197">
        <v>22</v>
      </c>
      <c r="G289" s="197">
        <v>143</v>
      </c>
      <c r="H289" s="197">
        <v>1685</v>
      </c>
      <c r="J289" s="197">
        <v>683</v>
      </c>
      <c r="K289" s="197">
        <v>290</v>
      </c>
      <c r="L289" s="197">
        <v>782</v>
      </c>
      <c r="M289" s="197">
        <v>60</v>
      </c>
      <c r="N289" s="197">
        <f t="shared" si="8"/>
        <v>842</v>
      </c>
      <c r="O289" s="162">
        <f t="shared" si="9"/>
        <v>2658</v>
      </c>
    </row>
    <row r="290" spans="1:15" ht="13.8" x14ac:dyDescent="0.25">
      <c r="A290" s="192">
        <v>39600</v>
      </c>
      <c r="B290" s="194" t="s">
        <v>468</v>
      </c>
      <c r="C290" s="197">
        <v>-160564</v>
      </c>
      <c r="D290" s="197">
        <v>64731</v>
      </c>
      <c r="E290" s="197">
        <v>126053</v>
      </c>
      <c r="F290" s="197">
        <v>2394</v>
      </c>
      <c r="G290" s="197">
        <v>39963</v>
      </c>
      <c r="H290" s="197">
        <v>184683</v>
      </c>
      <c r="J290" s="197">
        <v>74806</v>
      </c>
      <c r="K290" s="197">
        <v>65</v>
      </c>
      <c r="L290" s="197">
        <v>85656</v>
      </c>
      <c r="M290" s="197">
        <v>10569</v>
      </c>
      <c r="N290" s="197">
        <f t="shared" si="8"/>
        <v>96225</v>
      </c>
      <c r="O290" s="162">
        <f t="shared" si="9"/>
        <v>259554</v>
      </c>
    </row>
    <row r="291" spans="1:15" ht="13.8" x14ac:dyDescent="0.25">
      <c r="A291" s="192">
        <v>39605</v>
      </c>
      <c r="B291" s="194" t="s">
        <v>109</v>
      </c>
      <c r="C291" s="197">
        <v>-22857</v>
      </c>
      <c r="D291" s="197">
        <v>9215</v>
      </c>
      <c r="E291" s="197">
        <v>17944</v>
      </c>
      <c r="F291" s="197">
        <v>341</v>
      </c>
      <c r="G291" s="197">
        <v>4775</v>
      </c>
      <c r="H291" s="197">
        <v>26291</v>
      </c>
      <c r="J291" s="197">
        <v>10649</v>
      </c>
      <c r="K291" s="197">
        <v>1191</v>
      </c>
      <c r="L291" s="197">
        <v>12194</v>
      </c>
      <c r="M291" s="197">
        <v>1849</v>
      </c>
      <c r="N291" s="197">
        <f t="shared" si="8"/>
        <v>14043</v>
      </c>
      <c r="O291" s="162">
        <f t="shared" si="9"/>
        <v>38131</v>
      </c>
    </row>
    <row r="292" spans="1:15" ht="13.8" x14ac:dyDescent="0.25">
      <c r="A292" s="193">
        <v>39700</v>
      </c>
      <c r="B292" s="195" t="s">
        <v>469</v>
      </c>
      <c r="C292" s="198">
        <v>-94030</v>
      </c>
      <c r="D292" s="198">
        <v>37908</v>
      </c>
      <c r="E292" s="198">
        <v>73820</v>
      </c>
      <c r="F292" s="198">
        <v>1402</v>
      </c>
      <c r="G292" s="198">
        <v>8100</v>
      </c>
      <c r="H292" s="198">
        <v>108155</v>
      </c>
      <c r="J292" s="198">
        <v>43808</v>
      </c>
      <c r="K292" s="198">
        <v>0</v>
      </c>
      <c r="L292" s="198">
        <v>50162</v>
      </c>
      <c r="M292" s="198">
        <v>3997</v>
      </c>
      <c r="N292" s="197">
        <f t="shared" si="8"/>
        <v>54159</v>
      </c>
      <c r="O292" s="162">
        <f t="shared" si="9"/>
        <v>151963</v>
      </c>
    </row>
    <row r="293" spans="1:15" ht="13.8" x14ac:dyDescent="0.25">
      <c r="A293" s="193">
        <v>39703</v>
      </c>
      <c r="B293" s="195" t="s">
        <v>470</v>
      </c>
      <c r="C293" s="198">
        <v>-7734</v>
      </c>
      <c r="D293" s="198">
        <v>3118</v>
      </c>
      <c r="E293" s="198">
        <v>6072</v>
      </c>
      <c r="F293" s="198">
        <v>115</v>
      </c>
      <c r="G293" s="198">
        <v>0</v>
      </c>
      <c r="H293" s="198">
        <v>8896</v>
      </c>
      <c r="J293" s="198">
        <v>3603</v>
      </c>
      <c r="K293" s="198">
        <v>3221</v>
      </c>
      <c r="L293" s="198">
        <v>4126</v>
      </c>
      <c r="M293" s="198">
        <v>-2141</v>
      </c>
      <c r="N293" s="197">
        <f t="shared" si="8"/>
        <v>1985</v>
      </c>
      <c r="O293" s="162">
        <f t="shared" si="9"/>
        <v>15720</v>
      </c>
    </row>
    <row r="294" spans="1:15" ht="13.8" x14ac:dyDescent="0.25">
      <c r="A294" s="193">
        <v>39705</v>
      </c>
      <c r="B294" s="195" t="s">
        <v>110</v>
      </c>
      <c r="C294" s="198">
        <v>-25014</v>
      </c>
      <c r="D294" s="198">
        <v>10084</v>
      </c>
      <c r="E294" s="198">
        <v>19637</v>
      </c>
      <c r="F294" s="198">
        <v>373</v>
      </c>
      <c r="G294" s="198">
        <v>2051</v>
      </c>
      <c r="H294" s="198">
        <v>28771</v>
      </c>
      <c r="J294" s="198">
        <v>11654</v>
      </c>
      <c r="K294" s="198">
        <v>682</v>
      </c>
      <c r="L294" s="198">
        <v>13344</v>
      </c>
      <c r="M294" s="198">
        <v>714</v>
      </c>
      <c r="N294" s="197">
        <f t="shared" si="8"/>
        <v>14058</v>
      </c>
      <c r="O294" s="162">
        <f t="shared" si="9"/>
        <v>41107</v>
      </c>
    </row>
    <row r="295" spans="1:15" ht="13.8" x14ac:dyDescent="0.25">
      <c r="A295" s="193">
        <v>39800</v>
      </c>
      <c r="B295" s="195" t="s">
        <v>471</v>
      </c>
      <c r="C295" s="198">
        <v>-102676</v>
      </c>
      <c r="D295" s="198">
        <v>41394</v>
      </c>
      <c r="E295" s="198">
        <v>80608</v>
      </c>
      <c r="F295" s="198">
        <v>1531</v>
      </c>
      <c r="G295" s="198">
        <v>25945</v>
      </c>
      <c r="H295" s="198">
        <v>118100</v>
      </c>
      <c r="J295" s="198">
        <v>47836</v>
      </c>
      <c r="K295" s="198">
        <v>0</v>
      </c>
      <c r="L295" s="198">
        <v>54775</v>
      </c>
      <c r="M295" s="198">
        <v>7724</v>
      </c>
      <c r="N295" s="197">
        <f t="shared" si="8"/>
        <v>62499</v>
      </c>
      <c r="O295" s="162">
        <f t="shared" si="9"/>
        <v>165936</v>
      </c>
    </row>
    <row r="296" spans="1:15" ht="13.8" x14ac:dyDescent="0.25">
      <c r="A296" s="193">
        <v>39805</v>
      </c>
      <c r="B296" s="195" t="s">
        <v>111</v>
      </c>
      <c r="C296" s="198">
        <v>-12788</v>
      </c>
      <c r="D296" s="198">
        <v>5156</v>
      </c>
      <c r="E296" s="198">
        <v>10040</v>
      </c>
      <c r="F296" s="198">
        <v>191</v>
      </c>
      <c r="G296" s="198">
        <v>2230</v>
      </c>
      <c r="H296" s="198">
        <v>14709</v>
      </c>
      <c r="J296" s="198">
        <v>5958</v>
      </c>
      <c r="K296" s="198">
        <v>27</v>
      </c>
      <c r="L296" s="198">
        <v>6822</v>
      </c>
      <c r="M296" s="198">
        <v>1451</v>
      </c>
      <c r="N296" s="197">
        <f t="shared" si="8"/>
        <v>8273</v>
      </c>
      <c r="O296" s="162">
        <f t="shared" si="9"/>
        <v>20694</v>
      </c>
    </row>
    <row r="297" spans="1:15" ht="13.8" x14ac:dyDescent="0.25">
      <c r="A297" s="193">
        <v>39900</v>
      </c>
      <c r="B297" s="195" t="s">
        <v>472</v>
      </c>
      <c r="C297" s="198">
        <v>-57229</v>
      </c>
      <c r="D297" s="198">
        <v>23072</v>
      </c>
      <c r="E297" s="198">
        <v>44928</v>
      </c>
      <c r="F297" s="198">
        <v>853</v>
      </c>
      <c r="G297" s="198">
        <v>12114</v>
      </c>
      <c r="H297" s="198">
        <v>65825</v>
      </c>
      <c r="J297" s="198">
        <v>26662</v>
      </c>
      <c r="K297" s="198">
        <v>3577</v>
      </c>
      <c r="L297" s="198">
        <v>30530</v>
      </c>
      <c r="M297" s="198">
        <v>3339</v>
      </c>
      <c r="N297" s="197">
        <f t="shared" si="8"/>
        <v>33869</v>
      </c>
      <c r="O297" s="162">
        <f t="shared" si="9"/>
        <v>96064</v>
      </c>
    </row>
    <row r="298" spans="1:15" ht="13.8" x14ac:dyDescent="0.25">
      <c r="A298" s="192">
        <v>51000</v>
      </c>
      <c r="B298" s="194" t="s">
        <v>473</v>
      </c>
      <c r="C298" s="199">
        <v>-820094</v>
      </c>
      <c r="D298" s="232">
        <v>330618</v>
      </c>
      <c r="E298" s="232">
        <v>643826</v>
      </c>
      <c r="F298" s="232">
        <v>12229</v>
      </c>
      <c r="G298" s="232">
        <v>377955</v>
      </c>
      <c r="H298" s="232">
        <v>943285</v>
      </c>
      <c r="J298" s="232">
        <v>382076</v>
      </c>
      <c r="K298" s="232">
        <v>87158</v>
      </c>
      <c r="L298" s="232">
        <v>437495</v>
      </c>
      <c r="M298" s="232">
        <v>152243</v>
      </c>
      <c r="N298" s="197">
        <f t="shared" si="8"/>
        <v>589738</v>
      </c>
      <c r="O298" s="162">
        <f t="shared" si="9"/>
        <v>1412519</v>
      </c>
    </row>
    <row r="299" spans="1:15" ht="14.4" x14ac:dyDescent="0.3">
      <c r="A299" s="192">
        <v>51000.2</v>
      </c>
      <c r="B299" s="194" t="s">
        <v>474</v>
      </c>
      <c r="C299" s="172">
        <v>-1373</v>
      </c>
      <c r="D299" s="233">
        <v>554</v>
      </c>
      <c r="E299" s="233">
        <v>1078</v>
      </c>
      <c r="F299" s="233">
        <v>20</v>
      </c>
      <c r="G299" s="234">
        <v>1861</v>
      </c>
      <c r="H299" s="233">
        <v>1579</v>
      </c>
      <c r="I299" s="235"/>
      <c r="J299" s="233">
        <v>640</v>
      </c>
      <c r="K299" s="236">
        <v>1382</v>
      </c>
      <c r="L299" s="233">
        <v>732</v>
      </c>
      <c r="M299" s="152">
        <v>404</v>
      </c>
      <c r="N299" s="197">
        <f t="shared" si="8"/>
        <v>1136</v>
      </c>
      <c r="O299" s="162">
        <f t="shared" si="9"/>
        <v>3601</v>
      </c>
    </row>
    <row r="300" spans="1:15" ht="15.6" customHeight="1" thickBot="1" x14ac:dyDescent="0.3">
      <c r="A300" s="192">
        <v>51000.3</v>
      </c>
      <c r="B300" s="194" t="s">
        <v>475</v>
      </c>
      <c r="C300" s="149">
        <v>-30924</v>
      </c>
      <c r="D300" s="149">
        <v>12467</v>
      </c>
      <c r="E300" s="149">
        <v>24277</v>
      </c>
      <c r="F300" s="149">
        <v>461</v>
      </c>
      <c r="G300" s="149">
        <v>1092</v>
      </c>
      <c r="H300" s="149">
        <v>35569</v>
      </c>
      <c r="I300" s="149">
        <f t="shared" ref="I300" si="10">SUM(I4:I299)</f>
        <v>0</v>
      </c>
      <c r="J300" s="149">
        <v>14407</v>
      </c>
      <c r="K300" s="149">
        <v>3795</v>
      </c>
      <c r="L300" s="149">
        <v>16497</v>
      </c>
      <c r="M300" s="149">
        <v>-1638</v>
      </c>
      <c r="N300" s="197">
        <f t="shared" si="8"/>
        <v>14859</v>
      </c>
      <c r="O300" s="162">
        <f t="shared" si="9"/>
        <v>53771</v>
      </c>
    </row>
    <row r="301" spans="1:15" s="200" customFormat="1" ht="15" thickTop="1" thickBot="1" x14ac:dyDescent="0.3">
      <c r="M301" s="201"/>
    </row>
    <row r="302" spans="1:15" ht="13.8" thickTop="1" x14ac:dyDescent="0.25">
      <c r="C302" s="231">
        <f>SUM(C4:C301)</f>
        <v>-32925998</v>
      </c>
      <c r="D302" s="231">
        <f t="shared" ref="D302:H302" si="11">SUM(D4:D301)</f>
        <v>13274004</v>
      </c>
      <c r="E302" s="231">
        <f t="shared" si="11"/>
        <v>25848994</v>
      </c>
      <c r="F302" s="231">
        <f t="shared" si="11"/>
        <v>490995</v>
      </c>
      <c r="G302" s="231">
        <f t="shared" si="11"/>
        <v>3872798</v>
      </c>
      <c r="H302" s="231">
        <f t="shared" si="11"/>
        <v>37871993</v>
      </c>
      <c r="I302" s="231"/>
      <c r="J302" s="231">
        <f>SUM(J4:J301)</f>
        <v>15340006</v>
      </c>
      <c r="K302" s="231">
        <f t="shared" ref="K302:M302" si="12">SUM(K4:K301)</f>
        <v>3872752</v>
      </c>
      <c r="L302" s="231">
        <f t="shared" si="12"/>
        <v>17564998</v>
      </c>
      <c r="M302" s="231">
        <f t="shared" si="12"/>
        <v>-6</v>
      </c>
      <c r="N302" s="231">
        <f>SUM(N4:N300)</f>
        <v>17564992</v>
      </c>
    </row>
  </sheetData>
  <pageMargins left="0.7" right="0.7" top="0.75" bottom="0.75" header="0.3" footer="0.3"/>
  <pageSetup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Q302"/>
  <sheetViews>
    <sheetView workbookViewId="0">
      <pane ySplit="3" topLeftCell="A4" activePane="bottomLeft" state="frozen"/>
      <selection pane="bottomLeft" activeCell="L283" sqref="L283"/>
    </sheetView>
  </sheetViews>
  <sheetFormatPr defaultRowHeight="13.2" x14ac:dyDescent="0.25"/>
  <cols>
    <col min="1" max="1" width="15.33203125" customWidth="1"/>
    <col min="2" max="2" width="50.33203125" customWidth="1"/>
    <col min="3" max="7" width="19.33203125" customWidth="1"/>
    <col min="8" max="8" width="18.88671875" customWidth="1"/>
    <col min="13" max="18" width="9.109375" customWidth="1"/>
  </cols>
  <sheetData>
    <row r="1" spans="1:17" x14ac:dyDescent="0.25">
      <c r="A1" s="7">
        <v>1</v>
      </c>
      <c r="B1" s="7">
        <v>2</v>
      </c>
      <c r="C1" s="7">
        <v>3</v>
      </c>
      <c r="D1" s="7">
        <v>4</v>
      </c>
      <c r="E1" s="7">
        <v>5</v>
      </c>
      <c r="F1" s="7">
        <v>6</v>
      </c>
      <c r="G1" s="7">
        <v>7</v>
      </c>
      <c r="H1" s="7">
        <v>8</v>
      </c>
    </row>
    <row r="2" spans="1:17" ht="14.4" x14ac:dyDescent="0.3">
      <c r="C2" s="46" t="s">
        <v>245</v>
      </c>
      <c r="D2" s="46" t="s">
        <v>246</v>
      </c>
      <c r="E2" s="46" t="s">
        <v>248</v>
      </c>
      <c r="F2" s="46" t="s">
        <v>520</v>
      </c>
      <c r="G2" s="46" t="s">
        <v>547</v>
      </c>
      <c r="H2" s="46" t="s">
        <v>238</v>
      </c>
    </row>
    <row r="3" spans="1:17" ht="43.2" x14ac:dyDescent="0.3">
      <c r="A3" s="46" t="s">
        <v>159</v>
      </c>
      <c r="B3" s="46" t="s">
        <v>160</v>
      </c>
      <c r="C3" s="46" t="s">
        <v>127</v>
      </c>
      <c r="D3" s="46" t="s">
        <v>127</v>
      </c>
      <c r="E3" s="46" t="s">
        <v>127</v>
      </c>
      <c r="F3" s="46" t="s">
        <v>127</v>
      </c>
      <c r="G3" s="46" t="s">
        <v>127</v>
      </c>
      <c r="H3" s="46" t="s">
        <v>127</v>
      </c>
    </row>
    <row r="4" spans="1:17" x14ac:dyDescent="0.25">
      <c r="A4" s="190">
        <v>10200</v>
      </c>
      <c r="B4" s="188" t="s">
        <v>249</v>
      </c>
      <c r="C4" s="164">
        <v>-15486</v>
      </c>
      <c r="D4" s="164">
        <v>-11446</v>
      </c>
      <c r="E4" s="164">
        <v>4029</v>
      </c>
      <c r="F4" s="164">
        <v>1600</v>
      </c>
      <c r="G4" s="164">
        <v>1113</v>
      </c>
      <c r="H4" s="164"/>
      <c r="M4" s="162"/>
      <c r="N4" s="162"/>
      <c r="O4" s="162"/>
      <c r="P4" s="162"/>
      <c r="Q4" s="162"/>
    </row>
    <row r="5" spans="1:17" x14ac:dyDescent="0.25">
      <c r="A5" s="190">
        <v>10400</v>
      </c>
      <c r="B5" s="188" t="s">
        <v>250</v>
      </c>
      <c r="C5" s="164">
        <v>-41770</v>
      </c>
      <c r="D5" s="164">
        <v>-29445</v>
      </c>
      <c r="E5" s="164">
        <v>10978</v>
      </c>
      <c r="F5" s="164">
        <v>4778</v>
      </c>
      <c r="G5" s="164">
        <v>2268</v>
      </c>
      <c r="H5" s="164"/>
      <c r="M5" s="162"/>
      <c r="N5" s="162"/>
      <c r="O5" s="162"/>
      <c r="P5" s="162"/>
      <c r="Q5" s="162"/>
    </row>
    <row r="6" spans="1:17" x14ac:dyDescent="0.25">
      <c r="A6" s="190">
        <v>10500</v>
      </c>
      <c r="B6" s="188" t="s">
        <v>477</v>
      </c>
      <c r="C6" s="164">
        <v>-9506</v>
      </c>
      <c r="D6" s="164">
        <v>-7300</v>
      </c>
      <c r="E6" s="164">
        <v>2371</v>
      </c>
      <c r="F6" s="164">
        <v>1172</v>
      </c>
      <c r="G6" s="164">
        <v>618</v>
      </c>
      <c r="H6" s="164"/>
      <c r="M6" s="162"/>
      <c r="N6" s="162"/>
      <c r="O6" s="162"/>
      <c r="P6" s="162"/>
      <c r="Q6" s="162"/>
    </row>
    <row r="7" spans="1:17" x14ac:dyDescent="0.25">
      <c r="A7" s="190">
        <v>10700</v>
      </c>
      <c r="B7" s="188" t="s">
        <v>252</v>
      </c>
      <c r="C7" s="164">
        <v>-61221</v>
      </c>
      <c r="D7" s="164">
        <v>-43021</v>
      </c>
      <c r="E7" s="164">
        <v>18654</v>
      </c>
      <c r="F7" s="164">
        <v>9689</v>
      </c>
      <c r="G7" s="164">
        <v>4997</v>
      </c>
      <c r="H7" s="164"/>
      <c r="M7" s="162"/>
      <c r="N7" s="162"/>
      <c r="O7" s="162"/>
      <c r="P7" s="162"/>
      <c r="Q7" s="162"/>
    </row>
    <row r="8" spans="1:17" x14ac:dyDescent="0.25">
      <c r="A8" s="190">
        <v>10800</v>
      </c>
      <c r="B8" s="188" t="s">
        <v>253</v>
      </c>
      <c r="C8" s="164">
        <v>-232101</v>
      </c>
      <c r="D8" s="164">
        <v>-152176</v>
      </c>
      <c r="E8" s="164">
        <v>100558</v>
      </c>
      <c r="F8" s="164">
        <v>43606</v>
      </c>
      <c r="G8" s="164">
        <v>23417</v>
      </c>
      <c r="H8" s="164"/>
      <c r="M8" s="162"/>
      <c r="N8" s="162"/>
      <c r="O8" s="162"/>
      <c r="P8" s="162"/>
      <c r="Q8" s="162"/>
    </row>
    <row r="9" spans="1:17" x14ac:dyDescent="0.25">
      <c r="A9" s="190">
        <v>10850</v>
      </c>
      <c r="B9" s="188" t="s">
        <v>478</v>
      </c>
      <c r="C9" s="164">
        <v>-1098</v>
      </c>
      <c r="D9" s="164">
        <v>-503</v>
      </c>
      <c r="E9" s="164">
        <v>1496</v>
      </c>
      <c r="F9" s="164">
        <v>522</v>
      </c>
      <c r="G9" s="164">
        <v>308</v>
      </c>
      <c r="H9" s="164"/>
      <c r="M9" s="162"/>
      <c r="N9" s="162"/>
      <c r="O9" s="162"/>
      <c r="P9" s="162"/>
      <c r="Q9" s="162"/>
    </row>
    <row r="10" spans="1:17" x14ac:dyDescent="0.25">
      <c r="A10" s="190">
        <v>10900</v>
      </c>
      <c r="B10" s="188" t="s">
        <v>255</v>
      </c>
      <c r="C10" s="164">
        <v>-15632</v>
      </c>
      <c r="D10" s="164">
        <v>-11381</v>
      </c>
      <c r="E10" s="164">
        <v>8424</v>
      </c>
      <c r="F10" s="164">
        <v>3410</v>
      </c>
      <c r="G10" s="164">
        <v>1272</v>
      </c>
      <c r="H10" s="164"/>
      <c r="M10" s="162"/>
      <c r="N10" s="162"/>
      <c r="O10" s="162"/>
      <c r="P10" s="162"/>
      <c r="Q10" s="162"/>
    </row>
    <row r="11" spans="1:17" x14ac:dyDescent="0.25">
      <c r="A11" s="190">
        <v>10910</v>
      </c>
      <c r="B11" s="188" t="s">
        <v>479</v>
      </c>
      <c r="C11" s="164">
        <v>-10180</v>
      </c>
      <c r="D11" s="164">
        <v>-7188</v>
      </c>
      <c r="E11" s="164">
        <v>562</v>
      </c>
      <c r="F11" s="164">
        <v>276</v>
      </c>
      <c r="G11" s="164">
        <v>120</v>
      </c>
      <c r="H11" s="164"/>
      <c r="M11" s="162"/>
      <c r="N11" s="162"/>
      <c r="O11" s="162"/>
      <c r="P11" s="162"/>
      <c r="Q11" s="162"/>
    </row>
    <row r="12" spans="1:17" x14ac:dyDescent="0.25">
      <c r="A12" s="190">
        <v>10930</v>
      </c>
      <c r="B12" s="188" t="s">
        <v>480</v>
      </c>
      <c r="C12" s="164">
        <v>-72537</v>
      </c>
      <c r="D12" s="164">
        <v>-56684</v>
      </c>
      <c r="E12" s="164">
        <v>3524</v>
      </c>
      <c r="F12" s="164">
        <v>7596</v>
      </c>
      <c r="G12" s="164">
        <v>5027</v>
      </c>
      <c r="H12" s="164"/>
      <c r="M12" s="162"/>
      <c r="N12" s="162"/>
      <c r="O12" s="162"/>
      <c r="P12" s="162"/>
      <c r="Q12" s="162"/>
    </row>
    <row r="13" spans="1:17" x14ac:dyDescent="0.25">
      <c r="A13" s="190">
        <v>10940</v>
      </c>
      <c r="B13" s="188" t="s">
        <v>258</v>
      </c>
      <c r="C13" s="164">
        <v>-6646</v>
      </c>
      <c r="D13" s="164">
        <v>-4465</v>
      </c>
      <c r="E13" s="164">
        <v>4178</v>
      </c>
      <c r="F13" s="164">
        <v>1672</v>
      </c>
      <c r="G13" s="164">
        <v>1099</v>
      </c>
      <c r="H13" s="164"/>
      <c r="M13" s="162"/>
      <c r="N13" s="162"/>
      <c r="O13" s="162"/>
      <c r="P13" s="162"/>
      <c r="Q13" s="162"/>
    </row>
    <row r="14" spans="1:17" x14ac:dyDescent="0.25">
      <c r="A14" s="190">
        <v>10950</v>
      </c>
      <c r="B14" s="188" t="s">
        <v>36</v>
      </c>
      <c r="C14" s="164">
        <v>-17743</v>
      </c>
      <c r="D14" s="164">
        <v>-11638</v>
      </c>
      <c r="E14" s="164">
        <v>4262</v>
      </c>
      <c r="F14" s="164">
        <v>2142</v>
      </c>
      <c r="G14" s="164">
        <v>1961</v>
      </c>
      <c r="H14" s="164"/>
      <c r="M14" s="162"/>
      <c r="N14" s="162"/>
      <c r="O14" s="162"/>
      <c r="P14" s="162"/>
      <c r="Q14" s="162"/>
    </row>
    <row r="15" spans="1:17" x14ac:dyDescent="0.25">
      <c r="A15" s="190">
        <v>11000</v>
      </c>
      <c r="B15" s="188" t="s">
        <v>548</v>
      </c>
      <c r="C15" s="164">
        <v>2746</v>
      </c>
      <c r="D15" s="164">
        <v>2746</v>
      </c>
      <c r="E15" s="164">
        <v>0</v>
      </c>
      <c r="F15" s="164">
        <v>0</v>
      </c>
      <c r="G15" s="164">
        <v>0</v>
      </c>
      <c r="H15" s="164"/>
      <c r="M15" s="162"/>
      <c r="N15" s="162"/>
      <c r="O15" s="162"/>
      <c r="P15" s="162"/>
      <c r="Q15" s="162"/>
    </row>
    <row r="16" spans="1:17" x14ac:dyDescent="0.25">
      <c r="A16" s="190">
        <v>11050</v>
      </c>
      <c r="B16" s="188" t="s">
        <v>481</v>
      </c>
      <c r="C16" s="164">
        <v>-2717</v>
      </c>
      <c r="D16" s="164">
        <v>-2071</v>
      </c>
      <c r="E16" s="164">
        <v>1273</v>
      </c>
      <c r="F16" s="164">
        <v>321</v>
      </c>
      <c r="G16" s="164">
        <v>175</v>
      </c>
      <c r="H16" s="164"/>
      <c r="M16" s="162"/>
      <c r="N16" s="162"/>
      <c r="O16" s="162"/>
      <c r="P16" s="162"/>
      <c r="Q16" s="162"/>
    </row>
    <row r="17" spans="1:17" x14ac:dyDescent="0.25">
      <c r="A17" s="190">
        <v>11300</v>
      </c>
      <c r="B17" s="188" t="s">
        <v>500</v>
      </c>
      <c r="C17" s="164">
        <v>-46398</v>
      </c>
      <c r="D17" s="164">
        <v>-34008</v>
      </c>
      <c r="E17" s="164">
        <v>25550</v>
      </c>
      <c r="F17" s="164">
        <v>12069</v>
      </c>
      <c r="G17" s="164">
        <v>6339</v>
      </c>
      <c r="H17" s="164"/>
      <c r="M17" s="162"/>
      <c r="N17" s="162"/>
      <c r="O17" s="162"/>
      <c r="P17" s="162"/>
      <c r="Q17" s="162"/>
    </row>
    <row r="18" spans="1:17" x14ac:dyDescent="0.25">
      <c r="A18" s="190">
        <v>11310</v>
      </c>
      <c r="B18" s="188" t="s">
        <v>112</v>
      </c>
      <c r="C18" s="164">
        <v>-5049</v>
      </c>
      <c r="D18" s="164">
        <v>-3473</v>
      </c>
      <c r="E18" s="164">
        <v>2870</v>
      </c>
      <c r="F18" s="164">
        <v>1218</v>
      </c>
      <c r="G18" s="164">
        <v>651</v>
      </c>
      <c r="H18" s="164"/>
      <c r="M18" s="162"/>
      <c r="N18" s="162"/>
      <c r="O18" s="162"/>
      <c r="P18" s="162"/>
      <c r="Q18" s="162"/>
    </row>
    <row r="19" spans="1:17" x14ac:dyDescent="0.25">
      <c r="A19" s="190">
        <v>11600</v>
      </c>
      <c r="B19" s="188" t="s">
        <v>263</v>
      </c>
      <c r="C19" s="164">
        <v>-34741</v>
      </c>
      <c r="D19" s="164">
        <v>-24657</v>
      </c>
      <c r="E19" s="164">
        <v>5615</v>
      </c>
      <c r="F19" s="164">
        <v>3552</v>
      </c>
      <c r="G19" s="164">
        <v>2643</v>
      </c>
      <c r="H19" s="164"/>
      <c r="M19" s="162"/>
      <c r="N19" s="162"/>
      <c r="O19" s="162"/>
      <c r="P19" s="162"/>
      <c r="Q19" s="162"/>
    </row>
    <row r="20" spans="1:17" x14ac:dyDescent="0.25">
      <c r="A20" s="190">
        <v>11900</v>
      </c>
      <c r="B20" s="188" t="s">
        <v>264</v>
      </c>
      <c r="C20" s="164">
        <v>-4660</v>
      </c>
      <c r="D20" s="164">
        <v>-4311</v>
      </c>
      <c r="E20" s="164">
        <v>-618</v>
      </c>
      <c r="F20" s="164">
        <v>-415</v>
      </c>
      <c r="G20" s="164">
        <v>-599</v>
      </c>
      <c r="H20" s="164"/>
      <c r="M20" s="162"/>
      <c r="N20" s="162"/>
      <c r="O20" s="162"/>
      <c r="P20" s="162"/>
      <c r="Q20" s="162"/>
    </row>
    <row r="21" spans="1:17" x14ac:dyDescent="0.25">
      <c r="A21" s="190">
        <v>12100</v>
      </c>
      <c r="B21" s="188" t="s">
        <v>482</v>
      </c>
      <c r="C21" s="164">
        <v>-4408</v>
      </c>
      <c r="D21" s="164">
        <v>-3006</v>
      </c>
      <c r="E21" s="164">
        <v>864</v>
      </c>
      <c r="F21" s="164">
        <v>353</v>
      </c>
      <c r="G21" s="164">
        <v>179</v>
      </c>
      <c r="H21" s="164"/>
      <c r="M21" s="162"/>
      <c r="N21" s="162"/>
      <c r="O21" s="162"/>
      <c r="P21" s="162"/>
      <c r="Q21" s="162"/>
    </row>
    <row r="22" spans="1:17" x14ac:dyDescent="0.25">
      <c r="A22" s="190">
        <v>12150</v>
      </c>
      <c r="B22" s="188" t="s">
        <v>483</v>
      </c>
      <c r="C22" s="164">
        <v>-770</v>
      </c>
      <c r="D22" s="164">
        <v>-482</v>
      </c>
      <c r="E22" s="164">
        <v>214</v>
      </c>
      <c r="F22" s="164">
        <v>173</v>
      </c>
      <c r="G22" s="164">
        <v>57</v>
      </c>
      <c r="H22" s="164"/>
      <c r="M22" s="162"/>
      <c r="N22" s="162"/>
      <c r="O22" s="162"/>
      <c r="P22" s="162"/>
      <c r="Q22" s="162"/>
    </row>
    <row r="23" spans="1:17" x14ac:dyDescent="0.25">
      <c r="A23" s="190">
        <v>12160</v>
      </c>
      <c r="B23" s="188" t="s">
        <v>267</v>
      </c>
      <c r="C23" s="164">
        <v>-19579</v>
      </c>
      <c r="D23" s="164">
        <v>-14053</v>
      </c>
      <c r="E23" s="164">
        <v>8532</v>
      </c>
      <c r="F23" s="164">
        <v>3442</v>
      </c>
      <c r="G23" s="164">
        <v>2239</v>
      </c>
      <c r="H23" s="164"/>
      <c r="M23" s="162"/>
      <c r="N23" s="162"/>
      <c r="O23" s="162"/>
      <c r="P23" s="162"/>
      <c r="Q23" s="162"/>
    </row>
    <row r="24" spans="1:17" x14ac:dyDescent="0.25">
      <c r="A24" s="190">
        <v>12220</v>
      </c>
      <c r="B24" s="188" t="s">
        <v>501</v>
      </c>
      <c r="C24" s="164">
        <v>-359589</v>
      </c>
      <c r="D24" s="164">
        <v>-268937</v>
      </c>
      <c r="E24" s="164">
        <v>223743</v>
      </c>
      <c r="F24" s="164">
        <v>63402</v>
      </c>
      <c r="G24" s="164">
        <v>21234</v>
      </c>
      <c r="H24" s="164"/>
      <c r="M24" s="162"/>
      <c r="N24" s="162"/>
      <c r="O24" s="162"/>
      <c r="P24" s="162"/>
      <c r="Q24" s="162"/>
    </row>
    <row r="25" spans="1:17" x14ac:dyDescent="0.25">
      <c r="A25" s="190">
        <v>12510</v>
      </c>
      <c r="B25" s="188" t="s">
        <v>269</v>
      </c>
      <c r="C25" s="164">
        <v>-20755</v>
      </c>
      <c r="D25" s="164">
        <v>-19079</v>
      </c>
      <c r="E25" s="164">
        <v>22258</v>
      </c>
      <c r="F25" s="164">
        <v>8477</v>
      </c>
      <c r="G25" s="164">
        <v>2338</v>
      </c>
      <c r="H25" s="164"/>
      <c r="M25" s="162"/>
      <c r="N25" s="162"/>
      <c r="O25" s="162"/>
      <c r="P25" s="162"/>
      <c r="Q25" s="162"/>
    </row>
    <row r="26" spans="1:17" x14ac:dyDescent="0.25">
      <c r="A26" s="190">
        <v>12600</v>
      </c>
      <c r="B26" s="188" t="s">
        <v>484</v>
      </c>
      <c r="C26" s="164">
        <v>-14106</v>
      </c>
      <c r="D26" s="164">
        <v>-9779</v>
      </c>
      <c r="E26" s="164">
        <v>11333</v>
      </c>
      <c r="F26" s="164">
        <v>5083</v>
      </c>
      <c r="G26" s="164">
        <v>2900</v>
      </c>
      <c r="H26" s="164"/>
      <c r="M26" s="162"/>
      <c r="N26" s="162"/>
      <c r="O26" s="162"/>
      <c r="P26" s="162"/>
      <c r="Q26" s="162"/>
    </row>
    <row r="27" spans="1:17" x14ac:dyDescent="0.25">
      <c r="A27" s="190">
        <v>12700</v>
      </c>
      <c r="B27" s="188" t="s">
        <v>485</v>
      </c>
      <c r="C27" s="164">
        <v>-5645</v>
      </c>
      <c r="D27" s="164">
        <v>-3295</v>
      </c>
      <c r="E27" s="164">
        <v>6545</v>
      </c>
      <c r="F27" s="164">
        <v>3178</v>
      </c>
      <c r="G27" s="164">
        <v>1597</v>
      </c>
      <c r="H27" s="164"/>
      <c r="M27" s="162"/>
      <c r="N27" s="162"/>
      <c r="O27" s="162"/>
      <c r="P27" s="162"/>
      <c r="Q27" s="162"/>
    </row>
    <row r="28" spans="1:17" x14ac:dyDescent="0.25">
      <c r="A28" s="190">
        <v>13500</v>
      </c>
      <c r="B28" s="188" t="s">
        <v>486</v>
      </c>
      <c r="C28" s="164">
        <v>-37197</v>
      </c>
      <c r="D28" s="164">
        <v>-25624</v>
      </c>
      <c r="E28" s="164">
        <v>21647</v>
      </c>
      <c r="F28" s="164">
        <v>7973</v>
      </c>
      <c r="G28" s="164">
        <v>4802</v>
      </c>
      <c r="H28" s="164"/>
      <c r="M28" s="162"/>
      <c r="N28" s="162"/>
      <c r="O28" s="162"/>
      <c r="P28" s="162"/>
      <c r="Q28" s="162"/>
    </row>
    <row r="29" spans="1:17" x14ac:dyDescent="0.25">
      <c r="A29" s="190">
        <v>13700</v>
      </c>
      <c r="B29" s="188" t="s">
        <v>487</v>
      </c>
      <c r="C29" s="164">
        <v>-3592</v>
      </c>
      <c r="D29" s="164">
        <v>-2437</v>
      </c>
      <c r="E29" s="164">
        <v>3070</v>
      </c>
      <c r="F29" s="164">
        <v>963</v>
      </c>
      <c r="G29" s="164">
        <v>700</v>
      </c>
      <c r="H29" s="164"/>
      <c r="M29" s="162"/>
      <c r="N29" s="162"/>
      <c r="O29" s="162"/>
      <c r="P29" s="162"/>
      <c r="Q29" s="162"/>
    </row>
    <row r="30" spans="1:17" x14ac:dyDescent="0.25">
      <c r="A30" s="190">
        <v>14300</v>
      </c>
      <c r="B30" s="188" t="s">
        <v>502</v>
      </c>
      <c r="C30" s="164">
        <v>-22093</v>
      </c>
      <c r="D30" s="164">
        <v>-15017</v>
      </c>
      <c r="E30" s="164">
        <v>7366</v>
      </c>
      <c r="F30" s="164">
        <v>494</v>
      </c>
      <c r="G30" s="164">
        <v>1189</v>
      </c>
      <c r="H30" s="164"/>
      <c r="M30" s="162"/>
      <c r="N30" s="162"/>
      <c r="O30" s="162"/>
      <c r="P30" s="162"/>
      <c r="Q30" s="162"/>
    </row>
    <row r="31" spans="1:17" x14ac:dyDescent="0.25">
      <c r="A31" s="190">
        <v>14300.2</v>
      </c>
      <c r="B31" s="188" t="s">
        <v>503</v>
      </c>
      <c r="C31" s="164">
        <v>4303</v>
      </c>
      <c r="D31" s="164">
        <v>2275</v>
      </c>
      <c r="E31" s="164">
        <v>924</v>
      </c>
      <c r="F31" s="164">
        <v>373</v>
      </c>
      <c r="G31" s="164">
        <v>307</v>
      </c>
      <c r="H31" s="164"/>
      <c r="M31" s="162"/>
      <c r="N31" s="162"/>
      <c r="O31" s="162"/>
      <c r="P31" s="162"/>
      <c r="Q31" s="162"/>
    </row>
    <row r="32" spans="1:17" x14ac:dyDescent="0.25">
      <c r="A32" s="190">
        <v>18400</v>
      </c>
      <c r="B32" s="188" t="s">
        <v>488</v>
      </c>
      <c r="C32" s="164">
        <v>-44800</v>
      </c>
      <c r="D32" s="164">
        <v>-31127</v>
      </c>
      <c r="E32" s="164">
        <v>25920</v>
      </c>
      <c r="F32" s="164">
        <v>12327</v>
      </c>
      <c r="G32" s="164">
        <v>7311</v>
      </c>
      <c r="H32" s="164"/>
      <c r="M32" s="162"/>
      <c r="N32" s="162"/>
      <c r="O32" s="162"/>
      <c r="P32" s="162"/>
      <c r="Q32" s="162"/>
    </row>
    <row r="33" spans="1:17" x14ac:dyDescent="0.25">
      <c r="A33" s="190">
        <v>18600</v>
      </c>
      <c r="B33" s="188" t="s">
        <v>489</v>
      </c>
      <c r="C33" s="164">
        <v>-54</v>
      </c>
      <c r="D33" s="164">
        <v>-72</v>
      </c>
      <c r="E33" s="164">
        <v>67</v>
      </c>
      <c r="F33" s="164">
        <v>28</v>
      </c>
      <c r="G33" s="164">
        <v>7</v>
      </c>
      <c r="H33" s="164"/>
      <c r="M33" s="162"/>
      <c r="N33" s="162"/>
      <c r="O33" s="162"/>
      <c r="P33" s="162"/>
      <c r="Q33" s="162"/>
    </row>
    <row r="34" spans="1:17" x14ac:dyDescent="0.25">
      <c r="A34" s="190">
        <v>18640</v>
      </c>
      <c r="B34" s="188" t="s">
        <v>278</v>
      </c>
      <c r="C34" s="164">
        <v>-10</v>
      </c>
      <c r="D34" s="164">
        <v>-10</v>
      </c>
      <c r="E34" s="164">
        <v>5</v>
      </c>
      <c r="F34" s="164">
        <v>0</v>
      </c>
      <c r="G34" s="164">
        <v>2</v>
      </c>
      <c r="H34" s="164"/>
      <c r="M34" s="162"/>
      <c r="N34" s="162"/>
      <c r="O34" s="162"/>
      <c r="P34" s="162"/>
      <c r="Q34" s="162"/>
    </row>
    <row r="35" spans="1:17" x14ac:dyDescent="0.25">
      <c r="A35" s="190">
        <v>18740</v>
      </c>
      <c r="B35" s="188" t="s">
        <v>490</v>
      </c>
      <c r="C35" s="164">
        <v>43</v>
      </c>
      <c r="D35" s="164">
        <v>34</v>
      </c>
      <c r="E35" s="164">
        <v>60</v>
      </c>
      <c r="F35" s="164">
        <v>22</v>
      </c>
      <c r="G35" s="164">
        <v>13</v>
      </c>
      <c r="H35" s="164"/>
      <c r="M35" s="162"/>
      <c r="N35" s="162"/>
      <c r="O35" s="162"/>
      <c r="P35" s="162"/>
      <c r="Q35" s="162"/>
    </row>
    <row r="36" spans="1:17" x14ac:dyDescent="0.25">
      <c r="A36" s="190">
        <v>18780</v>
      </c>
      <c r="B36" s="188" t="s">
        <v>504</v>
      </c>
      <c r="C36" s="164">
        <v>-416</v>
      </c>
      <c r="D36" s="164">
        <v>-269</v>
      </c>
      <c r="E36" s="164">
        <v>11</v>
      </c>
      <c r="F36" s="164">
        <v>20</v>
      </c>
      <c r="G36" s="164">
        <v>15</v>
      </c>
      <c r="H36" s="164"/>
      <c r="M36" s="162"/>
      <c r="N36" s="162"/>
      <c r="O36" s="162"/>
      <c r="P36" s="162"/>
      <c r="Q36" s="162"/>
    </row>
    <row r="37" spans="1:17" x14ac:dyDescent="0.25">
      <c r="A37" s="190">
        <v>19005</v>
      </c>
      <c r="B37" s="188" t="s">
        <v>491</v>
      </c>
      <c r="C37" s="164">
        <v>-8779</v>
      </c>
      <c r="D37" s="164">
        <v>-5613</v>
      </c>
      <c r="E37" s="164">
        <v>5652</v>
      </c>
      <c r="F37" s="164">
        <v>2877</v>
      </c>
      <c r="G37" s="164">
        <v>1534</v>
      </c>
      <c r="H37" s="164"/>
      <c r="M37" s="162"/>
      <c r="N37" s="162"/>
      <c r="O37" s="162"/>
      <c r="P37" s="162"/>
      <c r="Q37" s="162"/>
    </row>
    <row r="38" spans="1:17" x14ac:dyDescent="0.25">
      <c r="A38" s="190">
        <v>19100</v>
      </c>
      <c r="B38" s="188" t="s">
        <v>281</v>
      </c>
      <c r="C38" s="164">
        <v>292691</v>
      </c>
      <c r="D38" s="164">
        <v>-175082</v>
      </c>
      <c r="E38" s="164">
        <v>77696</v>
      </c>
      <c r="F38" s="164">
        <v>-8026</v>
      </c>
      <c r="G38" s="164">
        <v>-27930</v>
      </c>
      <c r="H38" s="164"/>
      <c r="M38" s="162"/>
      <c r="N38" s="162"/>
      <c r="O38" s="162"/>
      <c r="P38" s="162"/>
      <c r="Q38" s="162"/>
    </row>
    <row r="39" spans="1:17" x14ac:dyDescent="0.25">
      <c r="A39" s="190">
        <v>19120</v>
      </c>
      <c r="B39" s="188" t="s">
        <v>521</v>
      </c>
      <c r="C39" s="164">
        <v>-1108200</v>
      </c>
      <c r="D39" s="164">
        <v>-387445</v>
      </c>
      <c r="E39" s="164">
        <v>199319</v>
      </c>
      <c r="F39" s="164">
        <v>98400</v>
      </c>
      <c r="G39" s="164">
        <v>62876</v>
      </c>
      <c r="H39" s="164"/>
      <c r="M39" s="162"/>
      <c r="N39" s="162"/>
      <c r="O39" s="162"/>
      <c r="P39" s="162"/>
      <c r="Q39" s="162"/>
    </row>
    <row r="40" spans="1:17" x14ac:dyDescent="0.25">
      <c r="A40" s="190">
        <v>20100</v>
      </c>
      <c r="B40" s="188" t="s">
        <v>37</v>
      </c>
      <c r="C40" s="164">
        <v>-164898</v>
      </c>
      <c r="D40" s="164">
        <v>-110532</v>
      </c>
      <c r="E40" s="164">
        <v>51814</v>
      </c>
      <c r="F40" s="164">
        <v>28047</v>
      </c>
      <c r="G40" s="164">
        <v>19433</v>
      </c>
      <c r="H40" s="164"/>
      <c r="M40" s="162"/>
      <c r="N40" s="162"/>
      <c r="O40" s="162"/>
      <c r="P40" s="162"/>
      <c r="Q40" s="162"/>
    </row>
    <row r="41" spans="1:17" x14ac:dyDescent="0.25">
      <c r="A41" s="190">
        <v>20200</v>
      </c>
      <c r="B41" s="188" t="s">
        <v>38</v>
      </c>
      <c r="C41" s="164">
        <v>-19372</v>
      </c>
      <c r="D41" s="164">
        <v>-13415</v>
      </c>
      <c r="E41" s="164">
        <v>7974</v>
      </c>
      <c r="F41" s="164">
        <v>4525</v>
      </c>
      <c r="G41" s="164">
        <v>3137</v>
      </c>
      <c r="H41" s="164"/>
      <c r="M41" s="162"/>
      <c r="N41" s="162"/>
      <c r="O41" s="162"/>
      <c r="P41" s="162"/>
      <c r="Q41" s="162"/>
    </row>
    <row r="42" spans="1:17" x14ac:dyDescent="0.25">
      <c r="A42" s="190">
        <v>20300</v>
      </c>
      <c r="B42" s="188" t="s">
        <v>39</v>
      </c>
      <c r="C42" s="164">
        <v>-302842</v>
      </c>
      <c r="D42" s="164">
        <v>-197761</v>
      </c>
      <c r="E42" s="164">
        <v>133028</v>
      </c>
      <c r="F42" s="164">
        <v>70968</v>
      </c>
      <c r="G42" s="164">
        <v>49785</v>
      </c>
      <c r="H42" s="164"/>
      <c r="M42" s="162"/>
      <c r="N42" s="162"/>
      <c r="O42" s="162"/>
      <c r="P42" s="162"/>
      <c r="Q42" s="162"/>
    </row>
    <row r="43" spans="1:17" x14ac:dyDescent="0.25">
      <c r="A43" s="190">
        <v>20400</v>
      </c>
      <c r="B43" s="188" t="s">
        <v>40</v>
      </c>
      <c r="C43" s="164">
        <v>-15586</v>
      </c>
      <c r="D43" s="164">
        <v>-10703</v>
      </c>
      <c r="E43" s="164">
        <v>6149</v>
      </c>
      <c r="F43" s="164">
        <v>2979</v>
      </c>
      <c r="G43" s="164">
        <v>1934</v>
      </c>
      <c r="H43" s="164"/>
      <c r="M43" s="162"/>
      <c r="N43" s="162"/>
      <c r="O43" s="162"/>
      <c r="P43" s="162"/>
      <c r="Q43" s="162"/>
    </row>
    <row r="44" spans="1:17" x14ac:dyDescent="0.25">
      <c r="A44" s="190">
        <v>20600</v>
      </c>
      <c r="B44" s="188" t="s">
        <v>41</v>
      </c>
      <c r="C44" s="164">
        <v>-31883</v>
      </c>
      <c r="D44" s="164">
        <v>-18941</v>
      </c>
      <c r="E44" s="164">
        <v>20556</v>
      </c>
      <c r="F44" s="164">
        <v>11010</v>
      </c>
      <c r="G44" s="164">
        <v>5750</v>
      </c>
      <c r="H44" s="164"/>
      <c r="M44" s="162"/>
      <c r="N44" s="162"/>
      <c r="O44" s="162"/>
      <c r="P44" s="162"/>
      <c r="Q44" s="162"/>
    </row>
    <row r="45" spans="1:17" x14ac:dyDescent="0.25">
      <c r="A45" s="190">
        <v>20700</v>
      </c>
      <c r="B45" s="188" t="s">
        <v>42</v>
      </c>
      <c r="C45" s="164">
        <v>-69279</v>
      </c>
      <c r="D45" s="164">
        <v>-48600</v>
      </c>
      <c r="E45" s="164">
        <v>32251</v>
      </c>
      <c r="F45" s="164">
        <v>14262</v>
      </c>
      <c r="G45" s="164">
        <v>10376</v>
      </c>
      <c r="H45" s="164"/>
      <c r="M45" s="162"/>
      <c r="N45" s="162"/>
      <c r="O45" s="162"/>
      <c r="P45" s="162"/>
      <c r="Q45" s="162"/>
    </row>
    <row r="46" spans="1:17" x14ac:dyDescent="0.25">
      <c r="A46" s="190">
        <v>20800</v>
      </c>
      <c r="B46" s="188" t="s">
        <v>43</v>
      </c>
      <c r="C46" s="164">
        <v>-35622</v>
      </c>
      <c r="D46" s="164">
        <v>-25741</v>
      </c>
      <c r="E46" s="164">
        <v>25824</v>
      </c>
      <c r="F46" s="164">
        <v>12522</v>
      </c>
      <c r="G46" s="164">
        <v>7924</v>
      </c>
      <c r="H46" s="164"/>
      <c r="M46" s="162"/>
      <c r="N46" s="162"/>
      <c r="O46" s="162"/>
      <c r="P46" s="162"/>
      <c r="Q46" s="162"/>
    </row>
    <row r="47" spans="1:17" x14ac:dyDescent="0.25">
      <c r="A47" s="190">
        <v>20900</v>
      </c>
      <c r="B47" s="188" t="s">
        <v>44</v>
      </c>
      <c r="C47" s="164">
        <v>-110393</v>
      </c>
      <c r="D47" s="164">
        <v>-80468</v>
      </c>
      <c r="E47" s="164">
        <v>38832</v>
      </c>
      <c r="F47" s="164">
        <v>20534</v>
      </c>
      <c r="G47" s="164">
        <v>14853</v>
      </c>
      <c r="H47" s="164"/>
      <c r="M47" s="162"/>
      <c r="N47" s="162"/>
      <c r="O47" s="162"/>
      <c r="P47" s="162"/>
      <c r="Q47" s="162"/>
    </row>
    <row r="48" spans="1:17" x14ac:dyDescent="0.25">
      <c r="A48" s="190">
        <v>21200</v>
      </c>
      <c r="B48" s="188" t="s">
        <v>45</v>
      </c>
      <c r="C48" s="164">
        <v>-39022</v>
      </c>
      <c r="D48" s="164">
        <v>-25733</v>
      </c>
      <c r="E48" s="164">
        <v>14167</v>
      </c>
      <c r="F48" s="164">
        <v>6974</v>
      </c>
      <c r="G48" s="164">
        <v>5499</v>
      </c>
      <c r="H48" s="164"/>
      <c r="M48" s="162"/>
      <c r="N48" s="162"/>
      <c r="O48" s="162"/>
      <c r="P48" s="162"/>
      <c r="Q48" s="162"/>
    </row>
    <row r="49" spans="1:17" x14ac:dyDescent="0.25">
      <c r="A49" s="190">
        <v>21300</v>
      </c>
      <c r="B49" s="188" t="s">
        <v>46</v>
      </c>
      <c r="C49" s="164">
        <v>-551177</v>
      </c>
      <c r="D49" s="164">
        <v>-366069</v>
      </c>
      <c r="E49" s="164">
        <v>197190</v>
      </c>
      <c r="F49" s="164">
        <v>102783</v>
      </c>
      <c r="G49" s="164">
        <v>75784</v>
      </c>
      <c r="H49" s="164"/>
      <c r="M49" s="162"/>
      <c r="N49" s="162"/>
      <c r="O49" s="162"/>
      <c r="P49" s="162"/>
      <c r="Q49" s="162"/>
    </row>
    <row r="50" spans="1:17" x14ac:dyDescent="0.25">
      <c r="A50" s="190">
        <v>21520</v>
      </c>
      <c r="B50" s="188" t="s">
        <v>287</v>
      </c>
      <c r="C50" s="164">
        <v>-1155969</v>
      </c>
      <c r="D50" s="164">
        <v>-793193</v>
      </c>
      <c r="E50" s="164">
        <v>304829</v>
      </c>
      <c r="F50" s="164">
        <v>152534</v>
      </c>
      <c r="G50" s="164">
        <v>110270</v>
      </c>
      <c r="H50" s="164"/>
      <c r="M50" s="162"/>
      <c r="N50" s="162"/>
      <c r="O50" s="162"/>
      <c r="P50" s="162"/>
      <c r="Q50" s="162"/>
    </row>
    <row r="51" spans="1:17" x14ac:dyDescent="0.25">
      <c r="A51" s="190">
        <v>21525</v>
      </c>
      <c r="B51" s="188" t="s">
        <v>288</v>
      </c>
      <c r="C51" s="164">
        <v>-32083</v>
      </c>
      <c r="D51" s="164">
        <v>-24767</v>
      </c>
      <c r="E51" s="164">
        <v>7305</v>
      </c>
      <c r="F51" s="164">
        <v>1295</v>
      </c>
      <c r="G51" s="164">
        <v>2321</v>
      </c>
      <c r="H51" s="164"/>
      <c r="M51" s="162"/>
      <c r="N51" s="162"/>
      <c r="O51" s="162"/>
      <c r="P51" s="162"/>
      <c r="Q51" s="162"/>
    </row>
    <row r="52" spans="1:17" x14ac:dyDescent="0.25">
      <c r="A52" s="190">
        <v>21525.200000000001</v>
      </c>
      <c r="B52" s="188" t="s">
        <v>289</v>
      </c>
      <c r="C52" s="164">
        <v>1907</v>
      </c>
      <c r="D52" s="164">
        <v>1665</v>
      </c>
      <c r="E52" s="164">
        <v>610</v>
      </c>
      <c r="F52" s="164">
        <v>212</v>
      </c>
      <c r="G52" s="164">
        <v>692</v>
      </c>
      <c r="H52" s="164"/>
      <c r="M52" s="162"/>
      <c r="N52" s="162"/>
      <c r="O52" s="162"/>
      <c r="P52" s="162"/>
      <c r="Q52" s="162"/>
    </row>
    <row r="53" spans="1:17" x14ac:dyDescent="0.25">
      <c r="A53" s="190">
        <v>21550</v>
      </c>
      <c r="B53" s="188" t="s">
        <v>48</v>
      </c>
      <c r="C53" s="164">
        <v>-709517</v>
      </c>
      <c r="D53" s="164">
        <v>-507967</v>
      </c>
      <c r="E53" s="164">
        <v>110605</v>
      </c>
      <c r="F53" s="164">
        <v>63632</v>
      </c>
      <c r="G53" s="164">
        <v>57265</v>
      </c>
      <c r="H53" s="164"/>
      <c r="M53" s="162"/>
      <c r="N53" s="162"/>
      <c r="O53" s="162"/>
      <c r="P53" s="162"/>
      <c r="Q53" s="162"/>
    </row>
    <row r="54" spans="1:17" x14ac:dyDescent="0.25">
      <c r="A54" s="190">
        <v>21570</v>
      </c>
      <c r="B54" s="188" t="s">
        <v>290</v>
      </c>
      <c r="C54" s="164">
        <v>-3583</v>
      </c>
      <c r="D54" s="164">
        <v>-2504</v>
      </c>
      <c r="E54" s="164">
        <v>680</v>
      </c>
      <c r="F54" s="164">
        <v>530</v>
      </c>
      <c r="G54" s="164">
        <v>328</v>
      </c>
      <c r="H54" s="164"/>
      <c r="M54" s="162"/>
      <c r="N54" s="162"/>
      <c r="O54" s="162"/>
      <c r="P54" s="162"/>
      <c r="Q54" s="162"/>
    </row>
    <row r="55" spans="1:17" x14ac:dyDescent="0.25">
      <c r="A55" s="190">
        <v>21800</v>
      </c>
      <c r="B55" s="188" t="s">
        <v>49</v>
      </c>
      <c r="C55" s="164">
        <v>-82731</v>
      </c>
      <c r="D55" s="164">
        <v>-57526</v>
      </c>
      <c r="E55" s="164">
        <v>24824</v>
      </c>
      <c r="F55" s="164">
        <v>12583</v>
      </c>
      <c r="G55" s="164">
        <v>9287</v>
      </c>
      <c r="H55" s="164"/>
      <c r="M55" s="162"/>
      <c r="N55" s="162"/>
      <c r="O55" s="162"/>
      <c r="P55" s="162"/>
      <c r="Q55" s="162"/>
    </row>
    <row r="56" spans="1:17" x14ac:dyDescent="0.25">
      <c r="A56" s="190">
        <v>21900</v>
      </c>
      <c r="B56" s="188" t="s">
        <v>50</v>
      </c>
      <c r="C56" s="164">
        <v>-15739</v>
      </c>
      <c r="D56" s="164">
        <v>-7902</v>
      </c>
      <c r="E56" s="164">
        <v>21818</v>
      </c>
      <c r="F56" s="164">
        <v>9263</v>
      </c>
      <c r="G56" s="164">
        <v>5471</v>
      </c>
      <c r="H56" s="164"/>
      <c r="M56" s="162"/>
      <c r="N56" s="162"/>
      <c r="O56" s="162"/>
      <c r="P56" s="162"/>
      <c r="Q56" s="162"/>
    </row>
    <row r="57" spans="1:17" x14ac:dyDescent="0.25">
      <c r="A57" s="190">
        <v>22000</v>
      </c>
      <c r="B57" s="188" t="s">
        <v>291</v>
      </c>
      <c r="C57" s="164">
        <v>-28638</v>
      </c>
      <c r="D57" s="164">
        <v>-18266</v>
      </c>
      <c r="E57" s="164">
        <v>20086</v>
      </c>
      <c r="F57" s="164">
        <v>7913</v>
      </c>
      <c r="G57" s="164">
        <v>4584</v>
      </c>
      <c r="H57" s="164"/>
      <c r="M57" s="162"/>
      <c r="N57" s="162"/>
      <c r="O57" s="162"/>
      <c r="P57" s="162"/>
      <c r="Q57" s="162"/>
    </row>
    <row r="58" spans="1:17" x14ac:dyDescent="0.25">
      <c r="A58" s="190">
        <v>23000</v>
      </c>
      <c r="B58" s="188" t="s">
        <v>51</v>
      </c>
      <c r="C58" s="164">
        <v>-31249</v>
      </c>
      <c r="D58" s="164">
        <v>-20223</v>
      </c>
      <c r="E58" s="164">
        <v>14661</v>
      </c>
      <c r="F58" s="164">
        <v>6667</v>
      </c>
      <c r="G58" s="164">
        <v>4246</v>
      </c>
      <c r="H58" s="164"/>
      <c r="M58" s="162"/>
      <c r="N58" s="162"/>
      <c r="O58" s="162"/>
      <c r="P58" s="162"/>
      <c r="Q58" s="162"/>
    </row>
    <row r="59" spans="1:17" x14ac:dyDescent="0.25">
      <c r="A59" s="190">
        <v>23100</v>
      </c>
      <c r="B59" s="188" t="s">
        <v>52</v>
      </c>
      <c r="C59" s="164">
        <v>-230321</v>
      </c>
      <c r="D59" s="164">
        <v>-155545</v>
      </c>
      <c r="E59" s="164">
        <v>69695</v>
      </c>
      <c r="F59" s="164">
        <v>40370</v>
      </c>
      <c r="G59" s="164">
        <v>29797</v>
      </c>
      <c r="H59" s="164"/>
      <c r="M59" s="162"/>
      <c r="N59" s="162"/>
      <c r="O59" s="162"/>
      <c r="P59" s="162"/>
      <c r="Q59" s="162"/>
    </row>
    <row r="60" spans="1:17" x14ac:dyDescent="0.25">
      <c r="A60" s="190">
        <v>23200</v>
      </c>
      <c r="B60" s="188" t="s">
        <v>53</v>
      </c>
      <c r="C60" s="164">
        <v>-142856</v>
      </c>
      <c r="D60" s="164">
        <v>-100600</v>
      </c>
      <c r="E60" s="164">
        <v>29057</v>
      </c>
      <c r="F60" s="164">
        <v>18262</v>
      </c>
      <c r="G60" s="164">
        <v>12133</v>
      </c>
      <c r="H60" s="164"/>
      <c r="M60" s="162"/>
      <c r="N60" s="162"/>
      <c r="O60" s="162"/>
      <c r="P60" s="162"/>
      <c r="Q60" s="162"/>
    </row>
    <row r="61" spans="1:17" x14ac:dyDescent="0.25">
      <c r="A61" s="190">
        <v>30000</v>
      </c>
      <c r="B61" s="188" t="s">
        <v>292</v>
      </c>
      <c r="C61" s="164">
        <v>-7354</v>
      </c>
      <c r="D61" s="164">
        <v>-4730</v>
      </c>
      <c r="E61" s="164">
        <v>4628</v>
      </c>
      <c r="F61" s="164">
        <v>2004</v>
      </c>
      <c r="G61" s="164">
        <v>1351</v>
      </c>
      <c r="H61" s="164"/>
      <c r="M61" s="162"/>
      <c r="N61" s="162"/>
      <c r="O61" s="162"/>
      <c r="P61" s="162"/>
      <c r="Q61" s="162"/>
    </row>
    <row r="62" spans="1:17" x14ac:dyDescent="0.25">
      <c r="A62" s="190">
        <v>30100</v>
      </c>
      <c r="B62" s="188" t="s">
        <v>293</v>
      </c>
      <c r="C62" s="164">
        <v>-95461</v>
      </c>
      <c r="D62" s="164">
        <v>-68402</v>
      </c>
      <c r="E62" s="164">
        <v>26160</v>
      </c>
      <c r="F62" s="164">
        <v>15609</v>
      </c>
      <c r="G62" s="164">
        <v>10161</v>
      </c>
      <c r="H62" s="164"/>
      <c r="M62" s="162"/>
      <c r="N62" s="162"/>
      <c r="O62" s="162"/>
      <c r="P62" s="162"/>
      <c r="Q62" s="162"/>
    </row>
    <row r="63" spans="1:17" x14ac:dyDescent="0.25">
      <c r="A63" s="190">
        <v>30102</v>
      </c>
      <c r="B63" s="188" t="s">
        <v>294</v>
      </c>
      <c r="C63" s="164">
        <v>-4127</v>
      </c>
      <c r="D63" s="164">
        <v>-2815</v>
      </c>
      <c r="E63" s="164">
        <v>701</v>
      </c>
      <c r="F63" s="164">
        <v>328</v>
      </c>
      <c r="G63" s="164">
        <v>242</v>
      </c>
      <c r="H63" s="164"/>
      <c r="M63" s="162"/>
      <c r="N63" s="162"/>
      <c r="O63" s="162"/>
      <c r="P63" s="162"/>
      <c r="Q63" s="162"/>
    </row>
    <row r="64" spans="1:17" x14ac:dyDescent="0.25">
      <c r="A64" s="190">
        <v>30103</v>
      </c>
      <c r="B64" s="188" t="s">
        <v>295</v>
      </c>
      <c r="C64" s="164">
        <v>-3158</v>
      </c>
      <c r="D64" s="164">
        <v>-2237</v>
      </c>
      <c r="E64" s="164">
        <v>684</v>
      </c>
      <c r="F64" s="164">
        <v>261</v>
      </c>
      <c r="G64" s="164">
        <v>326</v>
      </c>
      <c r="H64" s="164"/>
      <c r="M64" s="162"/>
      <c r="N64" s="162"/>
      <c r="O64" s="162"/>
      <c r="P64" s="162"/>
      <c r="Q64" s="162"/>
    </row>
    <row r="65" spans="1:17" x14ac:dyDescent="0.25">
      <c r="A65" s="190">
        <v>30104</v>
      </c>
      <c r="B65" s="188" t="s">
        <v>296</v>
      </c>
      <c r="C65" s="164">
        <v>-3154</v>
      </c>
      <c r="D65" s="164">
        <v>-2352</v>
      </c>
      <c r="E65" s="164">
        <v>184</v>
      </c>
      <c r="F65" s="164">
        <v>261</v>
      </c>
      <c r="G65" s="164">
        <v>132</v>
      </c>
      <c r="H65" s="164"/>
      <c r="M65" s="162"/>
      <c r="N65" s="162"/>
      <c r="O65" s="162"/>
      <c r="P65" s="162"/>
      <c r="Q65" s="162"/>
    </row>
    <row r="66" spans="1:17" x14ac:dyDescent="0.25">
      <c r="A66" s="190">
        <v>30105</v>
      </c>
      <c r="B66" s="188" t="s">
        <v>54</v>
      </c>
      <c r="C66" s="164">
        <v>-6387</v>
      </c>
      <c r="D66" s="164">
        <v>-4219</v>
      </c>
      <c r="E66" s="164">
        <v>4897</v>
      </c>
      <c r="F66" s="164">
        <v>2400</v>
      </c>
      <c r="G66" s="164">
        <v>1250</v>
      </c>
      <c r="H66" s="164"/>
      <c r="M66" s="162"/>
      <c r="N66" s="162"/>
      <c r="O66" s="162"/>
      <c r="P66" s="162"/>
      <c r="Q66" s="162"/>
    </row>
    <row r="67" spans="1:17" x14ac:dyDescent="0.25">
      <c r="A67" s="190">
        <v>30200</v>
      </c>
      <c r="B67" s="188" t="s">
        <v>297</v>
      </c>
      <c r="C67" s="164">
        <v>-19388</v>
      </c>
      <c r="D67" s="164">
        <v>-13779</v>
      </c>
      <c r="E67" s="164">
        <v>7632</v>
      </c>
      <c r="F67" s="164">
        <v>4240</v>
      </c>
      <c r="G67" s="164">
        <v>2732</v>
      </c>
      <c r="H67" s="164"/>
      <c r="M67" s="162"/>
      <c r="N67" s="162"/>
      <c r="O67" s="162"/>
      <c r="P67" s="162"/>
      <c r="Q67" s="162"/>
    </row>
    <row r="68" spans="1:17" x14ac:dyDescent="0.25">
      <c r="A68" s="190">
        <v>30300</v>
      </c>
      <c r="B68" s="188" t="s">
        <v>298</v>
      </c>
      <c r="C68" s="164">
        <v>-7089</v>
      </c>
      <c r="D68" s="164">
        <v>-4326</v>
      </c>
      <c r="E68" s="164">
        <v>2741</v>
      </c>
      <c r="F68" s="164">
        <v>1513</v>
      </c>
      <c r="G68" s="164">
        <v>905</v>
      </c>
      <c r="H68" s="164"/>
      <c r="M68" s="162"/>
      <c r="N68" s="162"/>
      <c r="O68" s="162"/>
      <c r="P68" s="162"/>
      <c r="Q68" s="162"/>
    </row>
    <row r="69" spans="1:17" x14ac:dyDescent="0.25">
      <c r="A69" s="190">
        <v>30400</v>
      </c>
      <c r="B69" s="188" t="s">
        <v>299</v>
      </c>
      <c r="C69" s="164">
        <v>-15170</v>
      </c>
      <c r="D69" s="164">
        <v>-9680</v>
      </c>
      <c r="E69" s="164">
        <v>5506</v>
      </c>
      <c r="F69" s="164">
        <v>2848</v>
      </c>
      <c r="G69" s="164">
        <v>1808</v>
      </c>
      <c r="H69" s="164"/>
      <c r="M69" s="162"/>
      <c r="N69" s="162"/>
      <c r="O69" s="162"/>
      <c r="P69" s="162"/>
      <c r="Q69" s="162"/>
    </row>
    <row r="70" spans="1:17" x14ac:dyDescent="0.25">
      <c r="A70" s="190">
        <v>30405</v>
      </c>
      <c r="B70" s="188" t="s">
        <v>55</v>
      </c>
      <c r="C70" s="164">
        <v>-7606</v>
      </c>
      <c r="D70" s="164">
        <v>-5286</v>
      </c>
      <c r="E70" s="164">
        <v>3566</v>
      </c>
      <c r="F70" s="164">
        <v>1395</v>
      </c>
      <c r="G70" s="164">
        <v>739</v>
      </c>
      <c r="H70" s="164"/>
      <c r="M70" s="162"/>
      <c r="N70" s="162"/>
      <c r="O70" s="162"/>
      <c r="P70" s="162"/>
      <c r="Q70" s="162"/>
    </row>
    <row r="71" spans="1:17" x14ac:dyDescent="0.25">
      <c r="A71" s="190">
        <v>30500</v>
      </c>
      <c r="B71" s="188" t="s">
        <v>300</v>
      </c>
      <c r="C71" s="164">
        <v>-11872</v>
      </c>
      <c r="D71" s="164">
        <v>-7450</v>
      </c>
      <c r="E71" s="164">
        <v>6070</v>
      </c>
      <c r="F71" s="164">
        <v>3260</v>
      </c>
      <c r="G71" s="164">
        <v>1997</v>
      </c>
      <c r="H71" s="164"/>
      <c r="M71" s="162"/>
      <c r="N71" s="162"/>
      <c r="O71" s="162"/>
      <c r="P71" s="162"/>
      <c r="Q71" s="162"/>
    </row>
    <row r="72" spans="1:17" x14ac:dyDescent="0.25">
      <c r="A72" s="190">
        <v>30600</v>
      </c>
      <c r="B72" s="188" t="s">
        <v>301</v>
      </c>
      <c r="C72" s="164">
        <v>-10200</v>
      </c>
      <c r="D72" s="164">
        <v>-6443</v>
      </c>
      <c r="E72" s="164">
        <v>4381</v>
      </c>
      <c r="F72" s="164">
        <v>2230</v>
      </c>
      <c r="G72" s="164">
        <v>1236</v>
      </c>
      <c r="H72" s="164"/>
      <c r="M72" s="162"/>
      <c r="N72" s="162"/>
      <c r="O72" s="162"/>
      <c r="P72" s="162"/>
      <c r="Q72" s="162"/>
    </row>
    <row r="73" spans="1:17" x14ac:dyDescent="0.25">
      <c r="A73" s="190">
        <v>30601</v>
      </c>
      <c r="B73" s="188" t="s">
        <v>302</v>
      </c>
      <c r="C73" s="164">
        <v>231</v>
      </c>
      <c r="D73" s="164">
        <v>231</v>
      </c>
      <c r="E73" s="164">
        <v>227</v>
      </c>
      <c r="F73" s="164">
        <v>63</v>
      </c>
      <c r="G73" s="164">
        <v>147</v>
      </c>
      <c r="H73" s="164"/>
      <c r="M73" s="162"/>
      <c r="N73" s="162"/>
      <c r="O73" s="162"/>
      <c r="P73" s="162"/>
      <c r="Q73" s="162"/>
    </row>
    <row r="74" spans="1:17" x14ac:dyDescent="0.25">
      <c r="A74" s="190">
        <v>30700</v>
      </c>
      <c r="B74" s="188" t="s">
        <v>303</v>
      </c>
      <c r="C74" s="164">
        <v>-23948</v>
      </c>
      <c r="D74" s="164">
        <v>-17413</v>
      </c>
      <c r="E74" s="164">
        <v>8490</v>
      </c>
      <c r="F74" s="164">
        <v>5944</v>
      </c>
      <c r="G74" s="164">
        <v>3900</v>
      </c>
      <c r="H74" s="164"/>
      <c r="M74" s="162"/>
      <c r="N74" s="162"/>
      <c r="O74" s="162"/>
      <c r="P74" s="162"/>
      <c r="Q74" s="162"/>
    </row>
    <row r="75" spans="1:17" x14ac:dyDescent="0.25">
      <c r="A75" s="190">
        <v>30705</v>
      </c>
      <c r="B75" s="188" t="s">
        <v>56</v>
      </c>
      <c r="C75" s="164">
        <v>-6262</v>
      </c>
      <c r="D75" s="164">
        <v>-4084</v>
      </c>
      <c r="E75" s="164">
        <v>1993</v>
      </c>
      <c r="F75" s="164">
        <v>1044</v>
      </c>
      <c r="G75" s="164">
        <v>500</v>
      </c>
      <c r="H75" s="164"/>
      <c r="M75" s="162"/>
      <c r="N75" s="162"/>
      <c r="O75" s="162"/>
      <c r="P75" s="162"/>
      <c r="Q75" s="162"/>
    </row>
    <row r="76" spans="1:17" x14ac:dyDescent="0.25">
      <c r="A76" s="190">
        <v>30800</v>
      </c>
      <c r="B76" s="188" t="s">
        <v>304</v>
      </c>
      <c r="C76" s="164">
        <v>-4906</v>
      </c>
      <c r="D76" s="164">
        <v>-3306</v>
      </c>
      <c r="E76" s="164">
        <v>4813</v>
      </c>
      <c r="F76" s="164">
        <v>2474</v>
      </c>
      <c r="G76" s="164">
        <v>1451</v>
      </c>
      <c r="H76" s="164"/>
      <c r="M76" s="162"/>
      <c r="N76" s="162"/>
      <c r="O76" s="162"/>
      <c r="P76" s="162"/>
      <c r="Q76" s="162"/>
    </row>
    <row r="77" spans="1:17" x14ac:dyDescent="0.25">
      <c r="A77" s="190">
        <v>30900</v>
      </c>
      <c r="B77" s="188" t="s">
        <v>305</v>
      </c>
      <c r="C77" s="164">
        <v>-14205</v>
      </c>
      <c r="D77" s="164">
        <v>-7403</v>
      </c>
      <c r="E77" s="164">
        <v>9565</v>
      </c>
      <c r="F77" s="164">
        <v>3663</v>
      </c>
      <c r="G77" s="164">
        <v>2241</v>
      </c>
      <c r="H77" s="164"/>
      <c r="M77" s="162"/>
      <c r="N77" s="162"/>
      <c r="O77" s="162"/>
      <c r="P77" s="162"/>
      <c r="Q77" s="162"/>
    </row>
    <row r="78" spans="1:17" x14ac:dyDescent="0.25">
      <c r="A78" s="190">
        <v>30905</v>
      </c>
      <c r="B78" s="188" t="s">
        <v>57</v>
      </c>
      <c r="C78" s="164">
        <v>-1968</v>
      </c>
      <c r="D78" s="164">
        <v>-1030</v>
      </c>
      <c r="E78" s="164">
        <v>2203</v>
      </c>
      <c r="F78" s="164">
        <v>1094</v>
      </c>
      <c r="G78" s="164">
        <v>623</v>
      </c>
      <c r="H78" s="164"/>
      <c r="M78" s="162"/>
      <c r="N78" s="162"/>
      <c r="O78" s="162"/>
      <c r="P78" s="162"/>
      <c r="Q78" s="162"/>
    </row>
    <row r="79" spans="1:17" x14ac:dyDescent="0.25">
      <c r="A79" s="190">
        <v>31000</v>
      </c>
      <c r="B79" s="188" t="s">
        <v>306</v>
      </c>
      <c r="C79" s="164">
        <v>-56343</v>
      </c>
      <c r="D79" s="164">
        <v>-37883</v>
      </c>
      <c r="E79" s="164">
        <v>20590</v>
      </c>
      <c r="F79" s="164">
        <v>11019</v>
      </c>
      <c r="G79" s="164">
        <v>6573</v>
      </c>
      <c r="H79" s="164"/>
      <c r="M79" s="162"/>
      <c r="N79" s="162"/>
      <c r="O79" s="162"/>
      <c r="P79" s="162"/>
      <c r="Q79" s="162"/>
    </row>
    <row r="80" spans="1:17" x14ac:dyDescent="0.25">
      <c r="A80" s="190">
        <v>31005</v>
      </c>
      <c r="B80" s="188" t="s">
        <v>58</v>
      </c>
      <c r="C80" s="164">
        <v>-4814</v>
      </c>
      <c r="D80" s="164">
        <v>-3111</v>
      </c>
      <c r="E80" s="164">
        <v>2281</v>
      </c>
      <c r="F80" s="164">
        <v>871</v>
      </c>
      <c r="G80" s="164">
        <v>486</v>
      </c>
      <c r="H80" s="164"/>
      <c r="M80" s="162"/>
      <c r="N80" s="162"/>
      <c r="O80" s="162"/>
      <c r="P80" s="162"/>
      <c r="Q80" s="162"/>
    </row>
    <row r="81" spans="1:17" x14ac:dyDescent="0.25">
      <c r="A81" s="190">
        <v>31100</v>
      </c>
      <c r="B81" s="188" t="s">
        <v>307</v>
      </c>
      <c r="C81" s="164">
        <v>-100196</v>
      </c>
      <c r="D81" s="164">
        <v>-66913</v>
      </c>
      <c r="E81" s="164">
        <v>40088</v>
      </c>
      <c r="F81" s="164">
        <v>21386</v>
      </c>
      <c r="G81" s="164">
        <v>12988</v>
      </c>
      <c r="H81" s="164"/>
      <c r="M81" s="162"/>
      <c r="N81" s="162"/>
      <c r="O81" s="162"/>
      <c r="P81" s="162"/>
      <c r="Q81" s="162"/>
    </row>
    <row r="82" spans="1:17" x14ac:dyDescent="0.25">
      <c r="A82" s="190">
        <v>31101</v>
      </c>
      <c r="B82" s="188" t="s">
        <v>492</v>
      </c>
      <c r="C82" s="164">
        <v>-472</v>
      </c>
      <c r="D82" s="164">
        <v>-214</v>
      </c>
      <c r="E82" s="164">
        <v>396</v>
      </c>
      <c r="F82" s="164">
        <v>62</v>
      </c>
      <c r="G82" s="164">
        <v>78</v>
      </c>
      <c r="H82" s="164"/>
      <c r="M82" s="162"/>
      <c r="N82" s="162"/>
      <c r="O82" s="162"/>
      <c r="P82" s="162"/>
      <c r="Q82" s="162"/>
    </row>
    <row r="83" spans="1:17" x14ac:dyDescent="0.25">
      <c r="A83" s="190">
        <v>31102</v>
      </c>
      <c r="B83" s="188" t="s">
        <v>309</v>
      </c>
      <c r="C83" s="164">
        <v>-2502</v>
      </c>
      <c r="D83" s="164">
        <v>-1781</v>
      </c>
      <c r="E83" s="164">
        <v>397</v>
      </c>
      <c r="F83" s="164">
        <v>530</v>
      </c>
      <c r="G83" s="164">
        <v>126</v>
      </c>
      <c r="H83" s="164"/>
      <c r="M83" s="162"/>
      <c r="N83" s="162"/>
      <c r="O83" s="162"/>
      <c r="P83" s="162"/>
      <c r="Q83" s="162"/>
    </row>
    <row r="84" spans="1:17" x14ac:dyDescent="0.25">
      <c r="A84" s="190">
        <v>31105</v>
      </c>
      <c r="B84" s="188" t="s">
        <v>59</v>
      </c>
      <c r="C84" s="164">
        <v>-15423</v>
      </c>
      <c r="D84" s="164">
        <v>-10328</v>
      </c>
      <c r="E84" s="164">
        <v>7733</v>
      </c>
      <c r="F84" s="164">
        <v>3587</v>
      </c>
      <c r="G84" s="164">
        <v>1390</v>
      </c>
      <c r="H84" s="164"/>
      <c r="M84" s="162"/>
      <c r="N84" s="162"/>
      <c r="O84" s="162"/>
      <c r="P84" s="162"/>
      <c r="Q84" s="162"/>
    </row>
    <row r="85" spans="1:17" x14ac:dyDescent="0.25">
      <c r="A85" s="190">
        <v>31110</v>
      </c>
      <c r="B85" s="188" t="s">
        <v>310</v>
      </c>
      <c r="C85" s="164">
        <v>-25758</v>
      </c>
      <c r="D85" s="164">
        <v>-17704</v>
      </c>
      <c r="E85" s="164">
        <v>8558</v>
      </c>
      <c r="F85" s="164">
        <v>4982</v>
      </c>
      <c r="G85" s="164">
        <v>3095</v>
      </c>
      <c r="H85" s="164"/>
      <c r="M85" s="162"/>
      <c r="N85" s="162"/>
      <c r="O85" s="162"/>
      <c r="P85" s="162"/>
      <c r="Q85" s="162"/>
    </row>
    <row r="86" spans="1:17" x14ac:dyDescent="0.25">
      <c r="A86" s="190">
        <v>31200</v>
      </c>
      <c r="B86" s="188" t="s">
        <v>311</v>
      </c>
      <c r="C86" s="164">
        <v>-42637</v>
      </c>
      <c r="D86" s="164">
        <v>-28698</v>
      </c>
      <c r="E86" s="164">
        <v>18728</v>
      </c>
      <c r="F86" s="164">
        <v>10959</v>
      </c>
      <c r="G86" s="164">
        <v>8159</v>
      </c>
      <c r="H86" s="164"/>
      <c r="M86" s="162"/>
      <c r="N86" s="162"/>
      <c r="O86" s="162"/>
      <c r="P86" s="162"/>
      <c r="Q86" s="162"/>
    </row>
    <row r="87" spans="1:17" x14ac:dyDescent="0.25">
      <c r="A87" s="190">
        <v>31205</v>
      </c>
      <c r="B87" s="188" t="s">
        <v>60</v>
      </c>
      <c r="C87" s="164">
        <v>-2389</v>
      </c>
      <c r="D87" s="164">
        <v>-1442</v>
      </c>
      <c r="E87" s="164">
        <v>2822</v>
      </c>
      <c r="F87" s="164">
        <v>1104</v>
      </c>
      <c r="G87" s="164">
        <v>464</v>
      </c>
      <c r="H87" s="164"/>
      <c r="M87" s="162"/>
      <c r="N87" s="162"/>
      <c r="O87" s="162"/>
      <c r="P87" s="162"/>
      <c r="Q87" s="162"/>
    </row>
    <row r="88" spans="1:17" x14ac:dyDescent="0.25">
      <c r="A88" s="190">
        <v>31300</v>
      </c>
      <c r="B88" s="188" t="s">
        <v>313</v>
      </c>
      <c r="C88" s="164">
        <v>-158139</v>
      </c>
      <c r="D88" s="164">
        <v>-109725</v>
      </c>
      <c r="E88" s="164">
        <v>38188</v>
      </c>
      <c r="F88" s="164">
        <v>16252</v>
      </c>
      <c r="G88" s="164">
        <v>9913</v>
      </c>
      <c r="H88" s="164"/>
      <c r="M88" s="162"/>
      <c r="N88" s="162"/>
      <c r="O88" s="162"/>
      <c r="P88" s="162"/>
      <c r="Q88" s="162"/>
    </row>
    <row r="89" spans="1:17" x14ac:dyDescent="0.25">
      <c r="A89" s="190">
        <v>31301</v>
      </c>
      <c r="B89" s="188" t="s">
        <v>314</v>
      </c>
      <c r="C89" s="164">
        <v>-2655</v>
      </c>
      <c r="D89" s="164">
        <v>-1710</v>
      </c>
      <c r="E89" s="164">
        <v>1185</v>
      </c>
      <c r="F89" s="164">
        <v>522</v>
      </c>
      <c r="G89" s="164">
        <v>357</v>
      </c>
      <c r="H89" s="164"/>
      <c r="M89" s="162"/>
      <c r="N89" s="162"/>
      <c r="O89" s="162"/>
      <c r="P89" s="162"/>
      <c r="Q89" s="162"/>
    </row>
    <row r="90" spans="1:17" x14ac:dyDescent="0.25">
      <c r="A90" s="190">
        <v>31320</v>
      </c>
      <c r="B90" s="188" t="s">
        <v>315</v>
      </c>
      <c r="C90" s="164">
        <v>-25497</v>
      </c>
      <c r="D90" s="164">
        <v>-16439</v>
      </c>
      <c r="E90" s="164">
        <v>8287</v>
      </c>
      <c r="F90" s="164">
        <v>4636</v>
      </c>
      <c r="G90" s="164">
        <v>2782</v>
      </c>
      <c r="H90" s="164"/>
      <c r="M90" s="162"/>
      <c r="N90" s="162"/>
      <c r="O90" s="162"/>
      <c r="P90" s="162"/>
      <c r="Q90" s="162"/>
    </row>
    <row r="91" spans="1:17" x14ac:dyDescent="0.25">
      <c r="A91" s="190">
        <v>31400</v>
      </c>
      <c r="B91" s="188" t="s">
        <v>316</v>
      </c>
      <c r="C91" s="164">
        <v>-34889</v>
      </c>
      <c r="D91" s="164">
        <v>-23222</v>
      </c>
      <c r="E91" s="164">
        <v>22473</v>
      </c>
      <c r="F91" s="164">
        <v>12804</v>
      </c>
      <c r="G91" s="164">
        <v>7802</v>
      </c>
      <c r="H91" s="164"/>
      <c r="M91" s="162"/>
      <c r="N91" s="162"/>
      <c r="O91" s="162"/>
      <c r="P91" s="162"/>
      <c r="Q91" s="162"/>
    </row>
    <row r="92" spans="1:17" x14ac:dyDescent="0.25">
      <c r="A92" s="190">
        <v>31405</v>
      </c>
      <c r="B92" s="188" t="s">
        <v>61</v>
      </c>
      <c r="C92" s="164">
        <v>-8598</v>
      </c>
      <c r="D92" s="164">
        <v>-5447</v>
      </c>
      <c r="E92" s="164">
        <v>5211</v>
      </c>
      <c r="F92" s="164">
        <v>2390</v>
      </c>
      <c r="G92" s="164">
        <v>1145</v>
      </c>
      <c r="H92" s="164"/>
      <c r="M92" s="162"/>
      <c r="N92" s="162"/>
      <c r="O92" s="162"/>
      <c r="P92" s="162"/>
      <c r="Q92" s="162"/>
    </row>
    <row r="93" spans="1:17" x14ac:dyDescent="0.25">
      <c r="A93" s="190">
        <v>31500</v>
      </c>
      <c r="B93" s="188" t="s">
        <v>317</v>
      </c>
      <c r="C93" s="164">
        <v>-7856</v>
      </c>
      <c r="D93" s="164">
        <v>-5653</v>
      </c>
      <c r="E93" s="164">
        <v>2840</v>
      </c>
      <c r="F93" s="164">
        <v>1916</v>
      </c>
      <c r="G93" s="164">
        <v>1227</v>
      </c>
      <c r="H93" s="164"/>
      <c r="M93" s="162"/>
      <c r="N93" s="162"/>
      <c r="O93" s="162"/>
      <c r="P93" s="162"/>
      <c r="Q93" s="162"/>
    </row>
    <row r="94" spans="1:17" x14ac:dyDescent="0.25">
      <c r="A94" s="190">
        <v>31600</v>
      </c>
      <c r="B94" s="188" t="s">
        <v>318</v>
      </c>
      <c r="C94" s="164">
        <v>-33586</v>
      </c>
      <c r="D94" s="164">
        <v>-24920</v>
      </c>
      <c r="E94" s="164">
        <v>10852</v>
      </c>
      <c r="F94" s="164">
        <v>7572</v>
      </c>
      <c r="G94" s="164">
        <v>5028</v>
      </c>
      <c r="H94" s="164"/>
      <c r="M94" s="162"/>
      <c r="N94" s="162"/>
      <c r="O94" s="162"/>
      <c r="P94" s="162"/>
      <c r="Q94" s="162"/>
    </row>
    <row r="95" spans="1:17" x14ac:dyDescent="0.25">
      <c r="A95" s="190">
        <v>31605</v>
      </c>
      <c r="B95" s="188" t="s">
        <v>62</v>
      </c>
      <c r="C95" s="164">
        <v>-4965</v>
      </c>
      <c r="D95" s="164">
        <v>-3372</v>
      </c>
      <c r="E95" s="164">
        <v>2280</v>
      </c>
      <c r="F95" s="164">
        <v>1015</v>
      </c>
      <c r="G95" s="164">
        <v>702</v>
      </c>
      <c r="H95" s="164"/>
      <c r="M95" s="162"/>
      <c r="N95" s="162"/>
      <c r="O95" s="162"/>
      <c r="P95" s="162"/>
      <c r="Q95" s="162"/>
    </row>
    <row r="96" spans="1:17" x14ac:dyDescent="0.25">
      <c r="A96" s="190">
        <v>31700</v>
      </c>
      <c r="B96" s="188" t="s">
        <v>319</v>
      </c>
      <c r="C96" s="164">
        <v>-6240</v>
      </c>
      <c r="D96" s="164">
        <v>-3433</v>
      </c>
      <c r="E96" s="164">
        <v>5347</v>
      </c>
      <c r="F96" s="164">
        <v>2500</v>
      </c>
      <c r="G96" s="164">
        <v>1360</v>
      </c>
      <c r="H96" s="164"/>
      <c r="M96" s="162"/>
      <c r="N96" s="162"/>
      <c r="O96" s="162"/>
      <c r="P96" s="162"/>
      <c r="Q96" s="162"/>
    </row>
    <row r="97" spans="1:17" x14ac:dyDescent="0.25">
      <c r="A97" s="190">
        <v>31800</v>
      </c>
      <c r="B97" s="188" t="s">
        <v>320</v>
      </c>
      <c r="C97" s="164">
        <v>-58094</v>
      </c>
      <c r="D97" s="164">
        <v>-40135</v>
      </c>
      <c r="E97" s="164">
        <v>23578</v>
      </c>
      <c r="F97" s="164">
        <v>13021</v>
      </c>
      <c r="G97" s="164">
        <v>9339</v>
      </c>
      <c r="H97" s="164"/>
      <c r="M97" s="162"/>
      <c r="N97" s="162"/>
      <c r="O97" s="162"/>
      <c r="P97" s="162"/>
      <c r="Q97" s="162"/>
    </row>
    <row r="98" spans="1:17" x14ac:dyDescent="0.25">
      <c r="A98" s="190">
        <v>31805</v>
      </c>
      <c r="B98" s="188" t="s">
        <v>63</v>
      </c>
      <c r="C98" s="164">
        <v>-10423</v>
      </c>
      <c r="D98" s="164">
        <v>-6821</v>
      </c>
      <c r="E98" s="164">
        <v>4685</v>
      </c>
      <c r="F98" s="164">
        <v>2905</v>
      </c>
      <c r="G98" s="164">
        <v>1537</v>
      </c>
      <c r="H98" s="164"/>
      <c r="M98" s="162"/>
      <c r="N98" s="162"/>
      <c r="O98" s="162"/>
      <c r="P98" s="162"/>
      <c r="Q98" s="162"/>
    </row>
    <row r="99" spans="1:17" x14ac:dyDescent="0.25">
      <c r="A99" s="190">
        <v>31810</v>
      </c>
      <c r="B99" s="188" t="s">
        <v>321</v>
      </c>
      <c r="C99" s="164">
        <v>-11771</v>
      </c>
      <c r="D99" s="164">
        <v>-8223</v>
      </c>
      <c r="E99" s="164">
        <v>7088</v>
      </c>
      <c r="F99" s="164">
        <v>3065</v>
      </c>
      <c r="G99" s="164">
        <v>1964</v>
      </c>
      <c r="H99" s="164"/>
      <c r="M99" s="162"/>
      <c r="N99" s="162"/>
      <c r="O99" s="162"/>
      <c r="P99" s="162"/>
      <c r="Q99" s="162"/>
    </row>
    <row r="100" spans="1:17" x14ac:dyDescent="0.25">
      <c r="A100" s="190">
        <v>31820</v>
      </c>
      <c r="B100" s="188" t="s">
        <v>322</v>
      </c>
      <c r="C100" s="164">
        <v>-9950</v>
      </c>
      <c r="D100" s="164">
        <v>-6825</v>
      </c>
      <c r="E100" s="164">
        <v>5179</v>
      </c>
      <c r="F100" s="164">
        <v>2599</v>
      </c>
      <c r="G100" s="164">
        <v>1298</v>
      </c>
      <c r="H100" s="164"/>
      <c r="M100" s="162"/>
      <c r="N100" s="162"/>
      <c r="O100" s="162"/>
      <c r="P100" s="162"/>
      <c r="Q100" s="162"/>
    </row>
    <row r="101" spans="1:17" x14ac:dyDescent="0.25">
      <c r="A101" s="190">
        <v>31900</v>
      </c>
      <c r="B101" s="188" t="s">
        <v>323</v>
      </c>
      <c r="C101" s="164">
        <v>-42832</v>
      </c>
      <c r="D101" s="164">
        <v>-29969</v>
      </c>
      <c r="E101" s="164">
        <v>12554</v>
      </c>
      <c r="F101" s="164">
        <v>6929</v>
      </c>
      <c r="G101" s="164">
        <v>4988</v>
      </c>
      <c r="H101" s="164"/>
      <c r="M101" s="162"/>
      <c r="N101" s="162"/>
      <c r="O101" s="162"/>
      <c r="P101" s="162"/>
      <c r="Q101" s="162"/>
    </row>
    <row r="102" spans="1:17" x14ac:dyDescent="0.25">
      <c r="A102" s="190">
        <v>32000</v>
      </c>
      <c r="B102" s="188" t="s">
        <v>324</v>
      </c>
      <c r="C102" s="164">
        <v>-13261</v>
      </c>
      <c r="D102" s="164">
        <v>-8493</v>
      </c>
      <c r="E102" s="164">
        <v>5990</v>
      </c>
      <c r="F102" s="164">
        <v>3378</v>
      </c>
      <c r="G102" s="164">
        <v>2230</v>
      </c>
      <c r="H102" s="164"/>
      <c r="M102" s="162"/>
      <c r="N102" s="162"/>
      <c r="O102" s="162"/>
      <c r="P102" s="162"/>
      <c r="Q102" s="162"/>
    </row>
    <row r="103" spans="1:17" x14ac:dyDescent="0.25">
      <c r="A103" s="190">
        <v>32005</v>
      </c>
      <c r="B103" s="188" t="s">
        <v>64</v>
      </c>
      <c r="C103" s="164">
        <v>-4437</v>
      </c>
      <c r="D103" s="164">
        <v>-3090</v>
      </c>
      <c r="E103" s="164">
        <v>1233</v>
      </c>
      <c r="F103" s="164">
        <v>372</v>
      </c>
      <c r="G103" s="164">
        <v>166</v>
      </c>
      <c r="H103" s="164"/>
      <c r="M103" s="162"/>
      <c r="N103" s="162"/>
      <c r="O103" s="162"/>
      <c r="P103" s="162"/>
      <c r="Q103" s="162"/>
    </row>
    <row r="104" spans="1:17" x14ac:dyDescent="0.25">
      <c r="A104" s="190">
        <v>32100</v>
      </c>
      <c r="B104" s="188" t="s">
        <v>325</v>
      </c>
      <c r="C104" s="164">
        <v>-7032</v>
      </c>
      <c r="D104" s="164">
        <v>-4449</v>
      </c>
      <c r="E104" s="164">
        <v>3517</v>
      </c>
      <c r="F104" s="164">
        <v>2375</v>
      </c>
      <c r="G104" s="164">
        <v>1548</v>
      </c>
      <c r="H104" s="164"/>
      <c r="M104" s="162"/>
      <c r="N104" s="162"/>
      <c r="O104" s="162"/>
      <c r="P104" s="162"/>
      <c r="Q104" s="162"/>
    </row>
    <row r="105" spans="1:17" x14ac:dyDescent="0.25">
      <c r="A105" s="190">
        <v>32200</v>
      </c>
      <c r="B105" s="188" t="s">
        <v>326</v>
      </c>
      <c r="C105" s="164">
        <v>-7158</v>
      </c>
      <c r="D105" s="164">
        <v>-4549</v>
      </c>
      <c r="E105" s="164">
        <v>2507</v>
      </c>
      <c r="F105" s="164">
        <v>1413</v>
      </c>
      <c r="G105" s="164">
        <v>923</v>
      </c>
      <c r="H105" s="164"/>
      <c r="M105" s="162"/>
      <c r="N105" s="162"/>
      <c r="O105" s="162"/>
      <c r="P105" s="162"/>
      <c r="Q105" s="162"/>
    </row>
    <row r="106" spans="1:17" x14ac:dyDescent="0.25">
      <c r="A106" s="190">
        <v>32300</v>
      </c>
      <c r="B106" s="188" t="s">
        <v>327</v>
      </c>
      <c r="C106" s="164">
        <v>-53185</v>
      </c>
      <c r="D106" s="164">
        <v>-35166</v>
      </c>
      <c r="E106" s="164">
        <v>26334</v>
      </c>
      <c r="F106" s="164">
        <v>12908</v>
      </c>
      <c r="G106" s="164">
        <v>8108</v>
      </c>
      <c r="H106" s="164"/>
      <c r="M106" s="162"/>
      <c r="N106" s="162"/>
      <c r="O106" s="162"/>
      <c r="P106" s="162"/>
      <c r="Q106" s="162"/>
    </row>
    <row r="107" spans="1:17" x14ac:dyDescent="0.25">
      <c r="A107" s="190">
        <v>32305</v>
      </c>
      <c r="B107" s="188" t="s">
        <v>328</v>
      </c>
      <c r="C107" s="164">
        <v>-8652</v>
      </c>
      <c r="D107" s="164">
        <v>-5652</v>
      </c>
      <c r="E107" s="164">
        <v>2612</v>
      </c>
      <c r="F107" s="164">
        <v>1691</v>
      </c>
      <c r="G107" s="164">
        <v>755</v>
      </c>
      <c r="H107" s="164"/>
      <c r="M107" s="162"/>
      <c r="N107" s="162"/>
      <c r="O107" s="162"/>
      <c r="P107" s="162"/>
      <c r="Q107" s="162"/>
    </row>
    <row r="108" spans="1:17" x14ac:dyDescent="0.25">
      <c r="A108" s="190">
        <v>32400</v>
      </c>
      <c r="B108" s="188" t="s">
        <v>329</v>
      </c>
      <c r="C108" s="164">
        <v>-20414</v>
      </c>
      <c r="D108" s="164">
        <v>-13422</v>
      </c>
      <c r="E108" s="164">
        <v>10251</v>
      </c>
      <c r="F108" s="164">
        <v>5098</v>
      </c>
      <c r="G108" s="164">
        <v>3316</v>
      </c>
      <c r="H108" s="164"/>
      <c r="M108" s="162"/>
      <c r="N108" s="162"/>
      <c r="O108" s="162"/>
      <c r="P108" s="162"/>
      <c r="Q108" s="162"/>
    </row>
    <row r="109" spans="1:17" x14ac:dyDescent="0.25">
      <c r="A109" s="190">
        <v>32405</v>
      </c>
      <c r="B109" s="188" t="s">
        <v>66</v>
      </c>
      <c r="C109" s="164">
        <v>-4270</v>
      </c>
      <c r="D109" s="164">
        <v>-2743</v>
      </c>
      <c r="E109" s="164">
        <v>2930</v>
      </c>
      <c r="F109" s="164">
        <v>1614</v>
      </c>
      <c r="G109" s="164">
        <v>849</v>
      </c>
      <c r="H109" s="164"/>
      <c r="M109" s="162"/>
      <c r="N109" s="162"/>
      <c r="O109" s="162"/>
      <c r="P109" s="162"/>
      <c r="Q109" s="162"/>
    </row>
    <row r="110" spans="1:17" x14ac:dyDescent="0.25">
      <c r="A110" s="190">
        <v>32410</v>
      </c>
      <c r="B110" s="188" t="s">
        <v>330</v>
      </c>
      <c r="C110" s="164">
        <v>-8941</v>
      </c>
      <c r="D110" s="164">
        <v>-6487</v>
      </c>
      <c r="E110" s="164">
        <v>2924</v>
      </c>
      <c r="F110" s="164">
        <v>1936</v>
      </c>
      <c r="G110" s="164">
        <v>1237</v>
      </c>
      <c r="H110" s="164"/>
      <c r="M110" s="162"/>
      <c r="N110" s="162"/>
      <c r="O110" s="162"/>
      <c r="P110" s="162"/>
      <c r="Q110" s="162"/>
    </row>
    <row r="111" spans="1:17" x14ac:dyDescent="0.25">
      <c r="A111" s="190">
        <v>32500</v>
      </c>
      <c r="B111" s="188" t="s">
        <v>331</v>
      </c>
      <c r="C111" s="164">
        <v>-55983</v>
      </c>
      <c r="D111" s="164">
        <v>-38362</v>
      </c>
      <c r="E111" s="164">
        <v>17665</v>
      </c>
      <c r="F111" s="164">
        <v>11665</v>
      </c>
      <c r="G111" s="164">
        <v>7141</v>
      </c>
      <c r="H111" s="164"/>
      <c r="M111" s="162"/>
      <c r="N111" s="162"/>
      <c r="O111" s="162"/>
      <c r="P111" s="162"/>
      <c r="Q111" s="162"/>
    </row>
    <row r="112" spans="1:17" x14ac:dyDescent="0.25">
      <c r="A112" s="190">
        <v>32505</v>
      </c>
      <c r="B112" s="188" t="s">
        <v>67</v>
      </c>
      <c r="C112" s="164">
        <v>-7759</v>
      </c>
      <c r="D112" s="164">
        <v>-5083</v>
      </c>
      <c r="E112" s="164">
        <v>3682</v>
      </c>
      <c r="F112" s="164">
        <v>1592</v>
      </c>
      <c r="G112" s="164">
        <v>811</v>
      </c>
      <c r="H112" s="164"/>
      <c r="M112" s="162"/>
      <c r="N112" s="162"/>
      <c r="O112" s="162"/>
      <c r="P112" s="162"/>
      <c r="Q112" s="162"/>
    </row>
    <row r="113" spans="1:17" x14ac:dyDescent="0.25">
      <c r="A113" s="190">
        <v>32600</v>
      </c>
      <c r="B113" s="188" t="s">
        <v>332</v>
      </c>
      <c r="C113" s="164">
        <v>-184900</v>
      </c>
      <c r="D113" s="164">
        <v>-134745</v>
      </c>
      <c r="E113" s="164">
        <v>54622</v>
      </c>
      <c r="F113" s="164">
        <v>40236</v>
      </c>
      <c r="G113" s="164">
        <v>19436</v>
      </c>
      <c r="H113" s="164"/>
      <c r="M113" s="162"/>
      <c r="N113" s="162"/>
      <c r="O113" s="162"/>
      <c r="P113" s="162"/>
      <c r="Q113" s="162"/>
    </row>
    <row r="114" spans="1:17" x14ac:dyDescent="0.25">
      <c r="A114" s="190">
        <v>32605</v>
      </c>
      <c r="B114" s="188" t="s">
        <v>68</v>
      </c>
      <c r="C114" s="164">
        <v>-32977</v>
      </c>
      <c r="D114" s="164">
        <v>-20634</v>
      </c>
      <c r="E114" s="164">
        <v>11215</v>
      </c>
      <c r="F114" s="164">
        <v>4555</v>
      </c>
      <c r="G114" s="164">
        <v>2369</v>
      </c>
      <c r="H114" s="164"/>
      <c r="M114" s="162"/>
      <c r="N114" s="162"/>
      <c r="O114" s="162"/>
      <c r="P114" s="162"/>
      <c r="Q114" s="162"/>
    </row>
    <row r="115" spans="1:17" x14ac:dyDescent="0.25">
      <c r="A115" s="190">
        <v>32700</v>
      </c>
      <c r="B115" s="188" t="s">
        <v>333</v>
      </c>
      <c r="C115" s="164">
        <v>-23933</v>
      </c>
      <c r="D115" s="164">
        <v>-16582</v>
      </c>
      <c r="E115" s="164">
        <v>6034</v>
      </c>
      <c r="F115" s="164">
        <v>3219</v>
      </c>
      <c r="G115" s="164">
        <v>2116</v>
      </c>
      <c r="H115" s="164"/>
      <c r="M115" s="162"/>
      <c r="N115" s="162"/>
      <c r="O115" s="162"/>
      <c r="P115" s="162"/>
      <c r="Q115" s="162"/>
    </row>
    <row r="116" spans="1:17" x14ac:dyDescent="0.25">
      <c r="A116" s="190">
        <v>32800</v>
      </c>
      <c r="B116" s="188" t="s">
        <v>334</v>
      </c>
      <c r="C116" s="164">
        <v>-29615</v>
      </c>
      <c r="D116" s="164">
        <v>-20801</v>
      </c>
      <c r="E116" s="164">
        <v>7685</v>
      </c>
      <c r="F116" s="164">
        <v>5151</v>
      </c>
      <c r="G116" s="164">
        <v>3456</v>
      </c>
      <c r="H116" s="164"/>
      <c r="M116" s="162"/>
      <c r="N116" s="162"/>
      <c r="O116" s="162"/>
      <c r="P116" s="162"/>
      <c r="Q116" s="162"/>
    </row>
    <row r="117" spans="1:17" x14ac:dyDescent="0.25">
      <c r="A117" s="190">
        <v>32900</v>
      </c>
      <c r="B117" s="188" t="s">
        <v>335</v>
      </c>
      <c r="C117" s="164">
        <v>-64604</v>
      </c>
      <c r="D117" s="164">
        <v>-44714</v>
      </c>
      <c r="E117" s="164">
        <v>26526</v>
      </c>
      <c r="F117" s="164">
        <v>15412</v>
      </c>
      <c r="G117" s="164">
        <v>9358</v>
      </c>
      <c r="H117" s="164"/>
      <c r="M117" s="162"/>
      <c r="N117" s="162"/>
      <c r="O117" s="162"/>
      <c r="P117" s="162"/>
      <c r="Q117" s="162"/>
    </row>
    <row r="118" spans="1:17" x14ac:dyDescent="0.25">
      <c r="A118" s="190">
        <v>32901</v>
      </c>
      <c r="B118" s="191" t="s">
        <v>336</v>
      </c>
      <c r="C118" s="164">
        <v>927</v>
      </c>
      <c r="D118" s="164">
        <v>456</v>
      </c>
      <c r="E118" s="164">
        <v>46</v>
      </c>
      <c r="F118" s="164">
        <v>-76</v>
      </c>
      <c r="G118" s="164">
        <v>136</v>
      </c>
      <c r="H118" s="164"/>
      <c r="M118" s="162"/>
      <c r="N118" s="162"/>
      <c r="O118" s="162"/>
      <c r="P118" s="162"/>
      <c r="Q118" s="162"/>
    </row>
    <row r="119" spans="1:17" x14ac:dyDescent="0.25">
      <c r="A119" s="190">
        <v>32904</v>
      </c>
      <c r="B119" s="188" t="s">
        <v>337</v>
      </c>
      <c r="C119" s="164">
        <v>-2644</v>
      </c>
      <c r="D119" s="164">
        <v>-1816</v>
      </c>
      <c r="E119" s="164">
        <v>-223</v>
      </c>
      <c r="F119" s="164">
        <v>-130</v>
      </c>
      <c r="G119" s="164">
        <v>100</v>
      </c>
      <c r="H119" s="164"/>
      <c r="M119" s="162"/>
      <c r="N119" s="162"/>
      <c r="O119" s="162"/>
      <c r="P119" s="162"/>
      <c r="Q119" s="162"/>
    </row>
    <row r="120" spans="1:17" x14ac:dyDescent="0.25">
      <c r="A120" s="190">
        <v>32905</v>
      </c>
      <c r="B120" s="188" t="s">
        <v>69</v>
      </c>
      <c r="C120" s="164">
        <v>-7911</v>
      </c>
      <c r="D120" s="164">
        <v>-5181</v>
      </c>
      <c r="E120" s="164">
        <v>4462</v>
      </c>
      <c r="F120" s="164">
        <v>1859</v>
      </c>
      <c r="G120" s="164">
        <v>968</v>
      </c>
      <c r="H120" s="164"/>
      <c r="M120" s="162"/>
      <c r="N120" s="162"/>
      <c r="O120" s="162"/>
      <c r="P120" s="162"/>
      <c r="Q120" s="162"/>
    </row>
    <row r="121" spans="1:17" x14ac:dyDescent="0.25">
      <c r="A121" s="190">
        <v>32910</v>
      </c>
      <c r="B121" s="188" t="s">
        <v>338</v>
      </c>
      <c r="C121" s="164">
        <v>-11843</v>
      </c>
      <c r="D121" s="164">
        <v>-8043</v>
      </c>
      <c r="E121" s="164">
        <v>4779</v>
      </c>
      <c r="F121" s="164">
        <v>2967</v>
      </c>
      <c r="G121" s="164">
        <v>1484</v>
      </c>
      <c r="H121" s="164"/>
      <c r="M121" s="162"/>
      <c r="N121" s="162"/>
      <c r="O121" s="162"/>
      <c r="P121" s="162"/>
      <c r="Q121" s="162"/>
    </row>
    <row r="122" spans="1:17" x14ac:dyDescent="0.25">
      <c r="A122" s="190">
        <v>32915</v>
      </c>
      <c r="B122" s="188" t="s">
        <v>339</v>
      </c>
      <c r="C122" s="164">
        <v>-3336</v>
      </c>
      <c r="D122" s="164">
        <v>-2395</v>
      </c>
      <c r="E122" s="164">
        <v>-327</v>
      </c>
      <c r="F122" s="164">
        <v>-293</v>
      </c>
      <c r="G122" s="164">
        <v>-401</v>
      </c>
      <c r="H122" s="164"/>
      <c r="M122" s="162"/>
      <c r="N122" s="162"/>
      <c r="O122" s="162"/>
      <c r="P122" s="162"/>
      <c r="Q122" s="162"/>
    </row>
    <row r="123" spans="1:17" x14ac:dyDescent="0.25">
      <c r="A123" s="190">
        <v>32920</v>
      </c>
      <c r="B123" s="188" t="s">
        <v>340</v>
      </c>
      <c r="C123" s="164">
        <v>-8113</v>
      </c>
      <c r="D123" s="164">
        <v>-5278</v>
      </c>
      <c r="E123" s="164">
        <v>3410</v>
      </c>
      <c r="F123" s="164">
        <v>1688</v>
      </c>
      <c r="G123" s="164">
        <v>1090</v>
      </c>
      <c r="H123" s="164"/>
      <c r="M123" s="162"/>
      <c r="N123" s="162"/>
      <c r="O123" s="162"/>
      <c r="P123" s="162"/>
      <c r="Q123" s="162"/>
    </row>
    <row r="124" spans="1:17" x14ac:dyDescent="0.25">
      <c r="A124" s="190">
        <v>33000</v>
      </c>
      <c r="B124" s="188" t="s">
        <v>341</v>
      </c>
      <c r="C124" s="164">
        <v>-24242</v>
      </c>
      <c r="D124" s="164">
        <v>-16017</v>
      </c>
      <c r="E124" s="164">
        <v>10717</v>
      </c>
      <c r="F124" s="164">
        <v>6351</v>
      </c>
      <c r="G124" s="164">
        <v>4323</v>
      </c>
      <c r="H124" s="164"/>
      <c r="M124" s="162"/>
      <c r="N124" s="162"/>
      <c r="O124" s="162"/>
      <c r="P124" s="162"/>
      <c r="Q124" s="162"/>
    </row>
    <row r="125" spans="1:17" x14ac:dyDescent="0.25">
      <c r="A125" s="190">
        <v>33001</v>
      </c>
      <c r="B125" s="188" t="s">
        <v>493</v>
      </c>
      <c r="C125" s="164">
        <v>184</v>
      </c>
      <c r="D125" s="164">
        <v>127</v>
      </c>
      <c r="E125" s="164">
        <v>385</v>
      </c>
      <c r="F125" s="164">
        <v>84</v>
      </c>
      <c r="G125" s="164">
        <v>74</v>
      </c>
      <c r="H125" s="164"/>
      <c r="M125" s="162"/>
      <c r="N125" s="162"/>
      <c r="O125" s="162"/>
      <c r="P125" s="162"/>
      <c r="Q125" s="162"/>
    </row>
    <row r="126" spans="1:17" x14ac:dyDescent="0.25">
      <c r="A126" s="190">
        <v>33027</v>
      </c>
      <c r="B126" s="188" t="s">
        <v>343</v>
      </c>
      <c r="C126" s="164">
        <v>-5582</v>
      </c>
      <c r="D126" s="164">
        <v>-4028</v>
      </c>
      <c r="E126" s="164">
        <v>641</v>
      </c>
      <c r="F126" s="164">
        <v>403</v>
      </c>
      <c r="G126" s="164">
        <v>311</v>
      </c>
      <c r="H126" s="164"/>
      <c r="M126" s="162"/>
      <c r="N126" s="162"/>
      <c r="O126" s="162"/>
      <c r="P126" s="162"/>
      <c r="Q126" s="162"/>
    </row>
    <row r="127" spans="1:17" x14ac:dyDescent="0.25">
      <c r="A127" s="190">
        <v>33100</v>
      </c>
      <c r="B127" s="188" t="s">
        <v>344</v>
      </c>
      <c r="C127" s="164">
        <v>-32555</v>
      </c>
      <c r="D127" s="164">
        <v>-21256</v>
      </c>
      <c r="E127" s="164">
        <v>15587</v>
      </c>
      <c r="F127" s="164">
        <v>7534</v>
      </c>
      <c r="G127" s="164">
        <v>4293</v>
      </c>
      <c r="H127" s="164"/>
      <c r="M127" s="162"/>
      <c r="N127" s="162"/>
      <c r="O127" s="162"/>
      <c r="P127" s="162"/>
      <c r="Q127" s="162"/>
    </row>
    <row r="128" spans="1:17" x14ac:dyDescent="0.25">
      <c r="A128" s="190">
        <v>33105</v>
      </c>
      <c r="B128" s="188" t="s">
        <v>70</v>
      </c>
      <c r="C128" s="164">
        <v>-3918</v>
      </c>
      <c r="D128" s="164">
        <v>-2341</v>
      </c>
      <c r="E128" s="164">
        <v>1616</v>
      </c>
      <c r="F128" s="164">
        <v>625</v>
      </c>
      <c r="G128" s="164">
        <v>388</v>
      </c>
      <c r="H128" s="164"/>
      <c r="M128" s="162"/>
      <c r="N128" s="162"/>
      <c r="O128" s="162"/>
      <c r="P128" s="162"/>
      <c r="Q128" s="162"/>
    </row>
    <row r="129" spans="1:17" x14ac:dyDescent="0.25">
      <c r="A129" s="190">
        <v>33200</v>
      </c>
      <c r="B129" s="188" t="s">
        <v>345</v>
      </c>
      <c r="C129" s="164">
        <v>-200109</v>
      </c>
      <c r="D129" s="164">
        <v>-145254</v>
      </c>
      <c r="E129" s="164">
        <v>43077</v>
      </c>
      <c r="F129" s="164">
        <v>27030</v>
      </c>
      <c r="G129" s="164">
        <v>20449</v>
      </c>
      <c r="H129" s="164"/>
      <c r="M129" s="162"/>
      <c r="N129" s="162"/>
      <c r="O129" s="162"/>
      <c r="P129" s="162"/>
      <c r="Q129" s="162"/>
    </row>
    <row r="130" spans="1:17" x14ac:dyDescent="0.25">
      <c r="A130" s="190">
        <v>33202</v>
      </c>
      <c r="B130" s="188" t="s">
        <v>494</v>
      </c>
      <c r="C130" s="164">
        <v>-4597</v>
      </c>
      <c r="D130" s="164">
        <v>-3778</v>
      </c>
      <c r="E130" s="164">
        <v>-11</v>
      </c>
      <c r="F130" s="164">
        <v>205</v>
      </c>
      <c r="G130" s="164">
        <v>229</v>
      </c>
      <c r="H130" s="164"/>
      <c r="M130" s="162"/>
      <c r="N130" s="162"/>
      <c r="O130" s="162"/>
      <c r="P130" s="162"/>
      <c r="Q130" s="162"/>
    </row>
    <row r="131" spans="1:17" x14ac:dyDescent="0.25">
      <c r="A131" s="190">
        <v>33203</v>
      </c>
      <c r="B131" s="188" t="s">
        <v>347</v>
      </c>
      <c r="C131" s="164">
        <v>-6443</v>
      </c>
      <c r="D131" s="164">
        <v>-4528</v>
      </c>
      <c r="E131" s="164">
        <v>34</v>
      </c>
      <c r="F131" s="164">
        <v>186</v>
      </c>
      <c r="G131" s="164">
        <v>186</v>
      </c>
      <c r="H131" s="164"/>
      <c r="M131" s="162"/>
      <c r="N131" s="162"/>
      <c r="O131" s="162"/>
      <c r="P131" s="162"/>
      <c r="Q131" s="162"/>
    </row>
    <row r="132" spans="1:17" x14ac:dyDescent="0.25">
      <c r="A132" s="190">
        <v>33204</v>
      </c>
      <c r="B132" s="188" t="s">
        <v>348</v>
      </c>
      <c r="C132" s="164">
        <v>-7145</v>
      </c>
      <c r="D132" s="164">
        <v>-4834</v>
      </c>
      <c r="E132" s="164">
        <v>1100</v>
      </c>
      <c r="F132" s="164">
        <v>729</v>
      </c>
      <c r="G132" s="164">
        <v>380</v>
      </c>
      <c r="H132" s="164"/>
      <c r="M132" s="162"/>
      <c r="N132" s="162"/>
      <c r="O132" s="162"/>
      <c r="P132" s="162"/>
      <c r="Q132" s="162"/>
    </row>
    <row r="133" spans="1:17" x14ac:dyDescent="0.25">
      <c r="A133" s="190">
        <v>33205</v>
      </c>
      <c r="B133" s="188" t="s">
        <v>71</v>
      </c>
      <c r="C133" s="164">
        <v>-14430</v>
      </c>
      <c r="D133" s="164">
        <v>-9623</v>
      </c>
      <c r="E133" s="164">
        <v>6455</v>
      </c>
      <c r="F133" s="164">
        <v>2481</v>
      </c>
      <c r="G133" s="164">
        <v>1349</v>
      </c>
      <c r="H133" s="164"/>
      <c r="M133" s="162"/>
      <c r="N133" s="162"/>
      <c r="O133" s="162"/>
      <c r="P133" s="162"/>
      <c r="Q133" s="162"/>
    </row>
    <row r="134" spans="1:17" x14ac:dyDescent="0.25">
      <c r="A134" s="190">
        <v>33206</v>
      </c>
      <c r="B134" s="188" t="s">
        <v>349</v>
      </c>
      <c r="C134" s="164">
        <v>-1363</v>
      </c>
      <c r="D134" s="164">
        <v>-1035</v>
      </c>
      <c r="E134" s="164">
        <v>511</v>
      </c>
      <c r="F134" s="164">
        <v>304</v>
      </c>
      <c r="G134" s="164">
        <v>135</v>
      </c>
      <c r="H134" s="164"/>
      <c r="M134" s="162"/>
      <c r="N134" s="162"/>
      <c r="O134" s="162"/>
      <c r="P134" s="162"/>
      <c r="Q134" s="162"/>
    </row>
    <row r="135" spans="1:17" x14ac:dyDescent="0.25">
      <c r="A135" s="190">
        <v>33207</v>
      </c>
      <c r="B135" s="188" t="s">
        <v>350</v>
      </c>
      <c r="C135" s="164">
        <v>-10372</v>
      </c>
      <c r="D135" s="164">
        <v>-7628</v>
      </c>
      <c r="E135" s="164">
        <v>-992</v>
      </c>
      <c r="F135" s="164">
        <v>-610</v>
      </c>
      <c r="G135" s="164">
        <v>-123</v>
      </c>
      <c r="H135" s="164"/>
      <c r="M135" s="162"/>
      <c r="N135" s="162"/>
      <c r="O135" s="162"/>
      <c r="P135" s="162"/>
      <c r="Q135" s="162"/>
    </row>
    <row r="136" spans="1:17" x14ac:dyDescent="0.25">
      <c r="A136" s="190">
        <v>33209</v>
      </c>
      <c r="B136" s="188" t="s">
        <v>351</v>
      </c>
      <c r="C136" s="164">
        <v>1034</v>
      </c>
      <c r="D136" s="164">
        <v>1034</v>
      </c>
      <c r="E136" s="164">
        <v>1035</v>
      </c>
      <c r="F136" s="164">
        <v>1207</v>
      </c>
      <c r="G136" s="164">
        <v>0</v>
      </c>
      <c r="H136" s="164"/>
      <c r="M136" s="162"/>
      <c r="N136" s="162"/>
      <c r="O136" s="162"/>
      <c r="P136" s="162"/>
      <c r="Q136" s="162"/>
    </row>
    <row r="137" spans="1:17" x14ac:dyDescent="0.25">
      <c r="A137" s="190">
        <v>33300</v>
      </c>
      <c r="B137" s="188" t="s">
        <v>352</v>
      </c>
      <c r="C137" s="164">
        <v>-25260</v>
      </c>
      <c r="D137" s="164">
        <v>-17067</v>
      </c>
      <c r="E137" s="164">
        <v>9073</v>
      </c>
      <c r="F137" s="164">
        <v>5326</v>
      </c>
      <c r="G137" s="164">
        <v>3766</v>
      </c>
      <c r="H137" s="164"/>
      <c r="M137" s="162"/>
      <c r="N137" s="162"/>
      <c r="O137" s="162"/>
      <c r="P137" s="162"/>
      <c r="Q137" s="162"/>
    </row>
    <row r="138" spans="1:17" x14ac:dyDescent="0.25">
      <c r="A138" s="190">
        <v>33305</v>
      </c>
      <c r="B138" s="188" t="s">
        <v>72</v>
      </c>
      <c r="C138" s="164">
        <v>-3333</v>
      </c>
      <c r="D138" s="164">
        <v>-1566</v>
      </c>
      <c r="E138" s="164">
        <v>3486</v>
      </c>
      <c r="F138" s="164">
        <v>1997</v>
      </c>
      <c r="G138" s="164">
        <v>968</v>
      </c>
      <c r="H138" s="164"/>
      <c r="M138" s="162"/>
      <c r="N138" s="162"/>
      <c r="O138" s="162"/>
      <c r="P138" s="162"/>
      <c r="Q138" s="162"/>
    </row>
    <row r="139" spans="1:17" x14ac:dyDescent="0.25">
      <c r="A139" s="190">
        <v>33400</v>
      </c>
      <c r="B139" s="188" t="s">
        <v>353</v>
      </c>
      <c r="C139" s="164">
        <v>-248565</v>
      </c>
      <c r="D139" s="164">
        <v>-166884</v>
      </c>
      <c r="E139" s="164">
        <v>87456</v>
      </c>
      <c r="F139" s="164">
        <v>45655</v>
      </c>
      <c r="G139" s="164">
        <v>28455</v>
      </c>
      <c r="H139" s="164"/>
      <c r="M139" s="162"/>
      <c r="N139" s="162"/>
      <c r="O139" s="162"/>
      <c r="P139" s="162"/>
      <c r="Q139" s="162"/>
    </row>
    <row r="140" spans="1:17" x14ac:dyDescent="0.25">
      <c r="A140" s="190">
        <v>33402</v>
      </c>
      <c r="B140" s="188" t="s">
        <v>354</v>
      </c>
      <c r="C140" s="164">
        <v>-3034</v>
      </c>
      <c r="D140" s="164">
        <v>-2078</v>
      </c>
      <c r="E140" s="164">
        <v>382</v>
      </c>
      <c r="F140" s="164">
        <v>213</v>
      </c>
      <c r="G140" s="164">
        <v>228</v>
      </c>
      <c r="H140" s="164"/>
      <c r="M140" s="162"/>
      <c r="N140" s="162"/>
      <c r="O140" s="162"/>
      <c r="P140" s="162"/>
      <c r="Q140" s="162"/>
    </row>
    <row r="141" spans="1:17" x14ac:dyDescent="0.25">
      <c r="A141" s="190">
        <v>33405</v>
      </c>
      <c r="B141" s="188" t="s">
        <v>73</v>
      </c>
      <c r="C141" s="164">
        <v>-22524</v>
      </c>
      <c r="D141" s="164">
        <v>-15804</v>
      </c>
      <c r="E141" s="164">
        <v>8751</v>
      </c>
      <c r="F141" s="164">
        <v>3466</v>
      </c>
      <c r="G141" s="164">
        <v>1634</v>
      </c>
      <c r="H141" s="164"/>
      <c r="M141" s="162"/>
      <c r="N141" s="162"/>
      <c r="O141" s="162"/>
      <c r="P141" s="162"/>
      <c r="Q141" s="162"/>
    </row>
    <row r="142" spans="1:17" x14ac:dyDescent="0.25">
      <c r="A142" s="190">
        <v>33500</v>
      </c>
      <c r="B142" s="188" t="s">
        <v>355</v>
      </c>
      <c r="C142" s="164">
        <v>-33295</v>
      </c>
      <c r="D142" s="164">
        <v>-22434</v>
      </c>
      <c r="E142" s="164">
        <v>11810</v>
      </c>
      <c r="F142" s="164">
        <v>6453</v>
      </c>
      <c r="G142" s="164">
        <v>4297</v>
      </c>
      <c r="H142" s="164"/>
      <c r="M142" s="162"/>
      <c r="N142" s="162"/>
      <c r="O142" s="162"/>
      <c r="P142" s="162"/>
      <c r="Q142" s="162"/>
    </row>
    <row r="143" spans="1:17" x14ac:dyDescent="0.25">
      <c r="A143" s="190">
        <v>33501</v>
      </c>
      <c r="B143" s="188" t="s">
        <v>356</v>
      </c>
      <c r="C143" s="164">
        <v>-1835</v>
      </c>
      <c r="D143" s="164">
        <v>-1299</v>
      </c>
      <c r="E143" s="164">
        <v>147</v>
      </c>
      <c r="F143" s="164">
        <v>51</v>
      </c>
      <c r="G143" s="164">
        <v>125</v>
      </c>
      <c r="H143" s="164"/>
      <c r="M143" s="162"/>
      <c r="N143" s="162"/>
      <c r="O143" s="162"/>
      <c r="P143" s="162"/>
      <c r="Q143" s="162"/>
    </row>
    <row r="144" spans="1:17" x14ac:dyDescent="0.25">
      <c r="A144" s="190">
        <v>33600</v>
      </c>
      <c r="B144" s="188" t="s">
        <v>357</v>
      </c>
      <c r="C144" s="164">
        <v>-113828</v>
      </c>
      <c r="D144" s="164">
        <v>-87995</v>
      </c>
      <c r="E144" s="164">
        <v>32291</v>
      </c>
      <c r="F144" s="164">
        <v>24022</v>
      </c>
      <c r="G144" s="164">
        <v>15193</v>
      </c>
      <c r="H144" s="164"/>
      <c r="M144" s="162"/>
      <c r="N144" s="162"/>
      <c r="O144" s="162"/>
      <c r="P144" s="162"/>
      <c r="Q144" s="162"/>
    </row>
    <row r="145" spans="1:17" x14ac:dyDescent="0.25">
      <c r="A145" s="190">
        <v>33605</v>
      </c>
      <c r="B145" s="188" t="s">
        <v>74</v>
      </c>
      <c r="C145" s="164">
        <v>-9933</v>
      </c>
      <c r="D145" s="164">
        <v>-6003</v>
      </c>
      <c r="E145" s="164">
        <v>8333</v>
      </c>
      <c r="F145" s="164">
        <v>3780</v>
      </c>
      <c r="G145" s="164">
        <v>1787</v>
      </c>
      <c r="H145" s="164"/>
      <c r="M145" s="162"/>
      <c r="N145" s="162"/>
      <c r="O145" s="162"/>
      <c r="P145" s="162"/>
      <c r="Q145" s="162"/>
    </row>
    <row r="146" spans="1:17" x14ac:dyDescent="0.25">
      <c r="A146" s="190">
        <v>33700</v>
      </c>
      <c r="B146" s="188" t="s">
        <v>358</v>
      </c>
      <c r="C146" s="164">
        <v>-7368</v>
      </c>
      <c r="D146" s="164">
        <v>-5054</v>
      </c>
      <c r="E146" s="164">
        <v>2573</v>
      </c>
      <c r="F146" s="164">
        <v>1367</v>
      </c>
      <c r="G146" s="164">
        <v>941</v>
      </c>
      <c r="H146" s="164"/>
      <c r="M146" s="162"/>
      <c r="N146" s="162"/>
      <c r="O146" s="162"/>
      <c r="P146" s="162"/>
      <c r="Q146" s="162"/>
    </row>
    <row r="147" spans="1:17" x14ac:dyDescent="0.25">
      <c r="A147" s="190">
        <v>33800</v>
      </c>
      <c r="B147" s="188" t="s">
        <v>359</v>
      </c>
      <c r="C147" s="164">
        <v>-5855</v>
      </c>
      <c r="D147" s="164">
        <v>-3608</v>
      </c>
      <c r="E147" s="164">
        <v>2474</v>
      </c>
      <c r="F147" s="164">
        <v>1352</v>
      </c>
      <c r="G147" s="164">
        <v>1056</v>
      </c>
      <c r="H147" s="164"/>
      <c r="M147" s="162"/>
      <c r="N147" s="162"/>
      <c r="O147" s="162"/>
      <c r="P147" s="162"/>
      <c r="Q147" s="162"/>
    </row>
    <row r="148" spans="1:17" x14ac:dyDescent="0.25">
      <c r="A148" s="190">
        <v>33900</v>
      </c>
      <c r="B148" s="188" t="s">
        <v>360</v>
      </c>
      <c r="C148" s="164">
        <v>-21659</v>
      </c>
      <c r="D148" s="164">
        <v>-14428</v>
      </c>
      <c r="E148" s="164">
        <v>13479</v>
      </c>
      <c r="F148" s="164">
        <v>7006</v>
      </c>
      <c r="G148" s="164">
        <v>4477</v>
      </c>
      <c r="H148" s="164"/>
      <c r="M148" s="162"/>
      <c r="N148" s="162"/>
      <c r="O148" s="162"/>
      <c r="P148" s="162"/>
      <c r="Q148" s="162"/>
    </row>
    <row r="149" spans="1:17" x14ac:dyDescent="0.25">
      <c r="A149" s="190">
        <v>34000</v>
      </c>
      <c r="B149" s="188" t="s">
        <v>361</v>
      </c>
      <c r="C149" s="164">
        <v>-15675</v>
      </c>
      <c r="D149" s="164">
        <v>-9848</v>
      </c>
      <c r="E149" s="164">
        <v>5898</v>
      </c>
      <c r="F149" s="164">
        <v>2956</v>
      </c>
      <c r="G149" s="164">
        <v>1905</v>
      </c>
      <c r="H149" s="164"/>
      <c r="M149" s="162"/>
      <c r="N149" s="162"/>
      <c r="O149" s="162"/>
      <c r="P149" s="162"/>
      <c r="Q149" s="162"/>
    </row>
    <row r="150" spans="1:17" x14ac:dyDescent="0.25">
      <c r="A150" s="190">
        <v>34100</v>
      </c>
      <c r="B150" s="188" t="s">
        <v>362</v>
      </c>
      <c r="C150" s="164">
        <v>-331248</v>
      </c>
      <c r="D150" s="164">
        <v>-227200</v>
      </c>
      <c r="E150" s="164">
        <v>107781</v>
      </c>
      <c r="F150" s="164">
        <v>59317</v>
      </c>
      <c r="G150" s="164">
        <v>34868</v>
      </c>
      <c r="H150" s="164"/>
      <c r="M150" s="162"/>
      <c r="N150" s="162"/>
      <c r="O150" s="162"/>
      <c r="P150" s="162"/>
      <c r="Q150" s="162"/>
    </row>
    <row r="151" spans="1:17" x14ac:dyDescent="0.25">
      <c r="A151" s="190">
        <v>34105</v>
      </c>
      <c r="B151" s="188" t="s">
        <v>75</v>
      </c>
      <c r="C151" s="164">
        <v>-15062</v>
      </c>
      <c r="D151" s="164">
        <v>-9213</v>
      </c>
      <c r="E151" s="164">
        <v>13054</v>
      </c>
      <c r="F151" s="164">
        <v>5388</v>
      </c>
      <c r="G151" s="164">
        <v>2756</v>
      </c>
      <c r="H151" s="164"/>
      <c r="M151" s="162"/>
      <c r="N151" s="162"/>
      <c r="O151" s="162"/>
      <c r="P151" s="162"/>
      <c r="Q151" s="162"/>
    </row>
    <row r="152" spans="1:17" x14ac:dyDescent="0.25">
      <c r="A152" s="190">
        <v>34200</v>
      </c>
      <c r="B152" s="188" t="s">
        <v>363</v>
      </c>
      <c r="C152" s="164">
        <v>-4982</v>
      </c>
      <c r="D152" s="164">
        <v>-3417</v>
      </c>
      <c r="E152" s="164">
        <v>4137</v>
      </c>
      <c r="F152" s="164">
        <v>3393</v>
      </c>
      <c r="G152" s="164">
        <v>1715</v>
      </c>
      <c r="H152" s="164"/>
      <c r="M152" s="162"/>
      <c r="N152" s="162"/>
      <c r="O152" s="162"/>
      <c r="P152" s="162"/>
      <c r="Q152" s="162"/>
    </row>
    <row r="153" spans="1:17" x14ac:dyDescent="0.25">
      <c r="A153" s="190">
        <v>34205</v>
      </c>
      <c r="B153" s="188" t="s">
        <v>76</v>
      </c>
      <c r="C153" s="164">
        <v>-1204</v>
      </c>
      <c r="D153" s="164">
        <v>-679</v>
      </c>
      <c r="E153" s="164">
        <v>1999</v>
      </c>
      <c r="F153" s="164">
        <v>732</v>
      </c>
      <c r="G153" s="164">
        <v>116</v>
      </c>
      <c r="H153" s="164"/>
      <c r="M153" s="162"/>
      <c r="N153" s="162"/>
      <c r="O153" s="162"/>
      <c r="P153" s="162"/>
      <c r="Q153" s="162"/>
    </row>
    <row r="154" spans="1:17" x14ac:dyDescent="0.25">
      <c r="A154" s="190">
        <v>34220</v>
      </c>
      <c r="B154" s="188" t="s">
        <v>364</v>
      </c>
      <c r="C154" s="164">
        <v>-10429</v>
      </c>
      <c r="D154" s="164">
        <v>-7031</v>
      </c>
      <c r="E154" s="164">
        <v>5494</v>
      </c>
      <c r="F154" s="164">
        <v>2792</v>
      </c>
      <c r="G154" s="164">
        <v>1757</v>
      </c>
      <c r="H154" s="164"/>
      <c r="M154" s="162"/>
      <c r="N154" s="162"/>
      <c r="O154" s="162"/>
      <c r="P154" s="162"/>
      <c r="Q154" s="162"/>
    </row>
    <row r="155" spans="1:17" x14ac:dyDescent="0.25">
      <c r="A155" s="190">
        <v>34230</v>
      </c>
      <c r="B155" s="188" t="s">
        <v>365</v>
      </c>
      <c r="C155" s="164">
        <v>-2949</v>
      </c>
      <c r="D155" s="164">
        <v>-1423</v>
      </c>
      <c r="E155" s="164">
        <v>2877</v>
      </c>
      <c r="F155" s="164">
        <v>1075</v>
      </c>
      <c r="G155" s="164">
        <v>683</v>
      </c>
      <c r="H155" s="164"/>
      <c r="M155" s="162"/>
      <c r="N155" s="162"/>
      <c r="O155" s="162"/>
      <c r="P155" s="162"/>
      <c r="Q155" s="162"/>
    </row>
    <row r="156" spans="1:17" x14ac:dyDescent="0.25">
      <c r="A156" s="190">
        <v>34300</v>
      </c>
      <c r="B156" s="188" t="s">
        <v>366</v>
      </c>
      <c r="C156" s="164">
        <v>-74829</v>
      </c>
      <c r="D156" s="164">
        <v>-52988</v>
      </c>
      <c r="E156" s="164">
        <v>26210</v>
      </c>
      <c r="F156" s="164">
        <v>14786</v>
      </c>
      <c r="G156" s="164">
        <v>9453</v>
      </c>
      <c r="H156" s="164"/>
      <c r="M156" s="162"/>
      <c r="N156" s="162"/>
      <c r="O156" s="162"/>
      <c r="P156" s="162"/>
      <c r="Q156" s="162"/>
    </row>
    <row r="157" spans="1:17" x14ac:dyDescent="0.25">
      <c r="A157" s="190">
        <v>34400</v>
      </c>
      <c r="B157" s="188" t="s">
        <v>367</v>
      </c>
      <c r="C157" s="164">
        <v>-27908</v>
      </c>
      <c r="D157" s="164">
        <v>-19970</v>
      </c>
      <c r="E157" s="164">
        <v>9208</v>
      </c>
      <c r="F157" s="164">
        <v>5032</v>
      </c>
      <c r="G157" s="164">
        <v>3419</v>
      </c>
      <c r="H157" s="164"/>
      <c r="M157" s="162"/>
      <c r="N157" s="162"/>
      <c r="O157" s="162"/>
      <c r="P157" s="162"/>
      <c r="Q157" s="162"/>
    </row>
    <row r="158" spans="1:17" x14ac:dyDescent="0.25">
      <c r="A158" s="190">
        <v>34405</v>
      </c>
      <c r="B158" s="188" t="s">
        <v>77</v>
      </c>
      <c r="C158" s="164">
        <v>-4179</v>
      </c>
      <c r="D158" s="164">
        <v>-2659</v>
      </c>
      <c r="E158" s="164">
        <v>2137</v>
      </c>
      <c r="F158" s="164">
        <v>1441</v>
      </c>
      <c r="G158" s="164">
        <v>609</v>
      </c>
      <c r="H158" s="164"/>
      <c r="M158" s="162"/>
      <c r="N158" s="162"/>
      <c r="O158" s="162"/>
      <c r="P158" s="162"/>
      <c r="Q158" s="162"/>
    </row>
    <row r="159" spans="1:17" x14ac:dyDescent="0.25">
      <c r="A159" s="190">
        <v>34500</v>
      </c>
      <c r="B159" s="188" t="s">
        <v>368</v>
      </c>
      <c r="C159" s="164">
        <v>-61038</v>
      </c>
      <c r="D159" s="164">
        <v>-40599</v>
      </c>
      <c r="E159" s="164">
        <v>18088</v>
      </c>
      <c r="F159" s="164">
        <v>10828</v>
      </c>
      <c r="G159" s="164">
        <v>6923</v>
      </c>
      <c r="H159" s="164"/>
      <c r="M159" s="162"/>
      <c r="N159" s="162"/>
      <c r="O159" s="162"/>
      <c r="P159" s="162"/>
      <c r="Q159" s="162"/>
    </row>
    <row r="160" spans="1:17" x14ac:dyDescent="0.25">
      <c r="A160" s="190">
        <v>34501</v>
      </c>
      <c r="B160" s="188" t="s">
        <v>369</v>
      </c>
      <c r="C160" s="164">
        <v>-1052</v>
      </c>
      <c r="D160" s="164">
        <v>-688</v>
      </c>
      <c r="E160" s="164">
        <v>232</v>
      </c>
      <c r="F160" s="164">
        <v>165</v>
      </c>
      <c r="G160" s="164">
        <v>141</v>
      </c>
      <c r="H160" s="164"/>
      <c r="M160" s="162"/>
      <c r="N160" s="162"/>
      <c r="O160" s="162"/>
      <c r="P160" s="162"/>
      <c r="Q160" s="162"/>
    </row>
    <row r="161" spans="1:17" x14ac:dyDescent="0.25">
      <c r="A161" s="190">
        <v>34505</v>
      </c>
      <c r="B161" s="188" t="s">
        <v>78</v>
      </c>
      <c r="C161" s="164">
        <v>-9979</v>
      </c>
      <c r="D161" s="164">
        <v>-6651</v>
      </c>
      <c r="E161" s="164">
        <v>2503</v>
      </c>
      <c r="F161" s="164">
        <v>1301</v>
      </c>
      <c r="G161" s="164">
        <v>1195</v>
      </c>
      <c r="H161" s="164"/>
      <c r="M161" s="162"/>
      <c r="N161" s="162"/>
      <c r="O161" s="162"/>
      <c r="P161" s="162"/>
      <c r="Q161" s="162"/>
    </row>
    <row r="162" spans="1:17" x14ac:dyDescent="0.25">
      <c r="A162" s="190">
        <v>34600</v>
      </c>
      <c r="B162" s="188" t="s">
        <v>370</v>
      </c>
      <c r="C162" s="164">
        <v>-8276</v>
      </c>
      <c r="D162" s="164">
        <v>-6381</v>
      </c>
      <c r="E162" s="164">
        <v>6137</v>
      </c>
      <c r="F162" s="164">
        <v>3163</v>
      </c>
      <c r="G162" s="164">
        <v>2078</v>
      </c>
      <c r="H162" s="164"/>
      <c r="M162" s="162"/>
      <c r="N162" s="162"/>
      <c r="O162" s="162"/>
      <c r="P162" s="162"/>
      <c r="Q162" s="162"/>
    </row>
    <row r="163" spans="1:17" x14ac:dyDescent="0.25">
      <c r="A163" s="190">
        <v>34605</v>
      </c>
      <c r="B163" s="188" t="s">
        <v>79</v>
      </c>
      <c r="C163" s="164">
        <v>-1653</v>
      </c>
      <c r="D163" s="164">
        <v>-886</v>
      </c>
      <c r="E163" s="164">
        <v>1567</v>
      </c>
      <c r="F163" s="164">
        <v>825</v>
      </c>
      <c r="G163" s="164">
        <v>352</v>
      </c>
      <c r="H163" s="164"/>
      <c r="M163" s="162"/>
      <c r="N163" s="162"/>
      <c r="O163" s="162"/>
      <c r="P163" s="162"/>
      <c r="Q163" s="162"/>
    </row>
    <row r="164" spans="1:17" x14ac:dyDescent="0.25">
      <c r="A164" s="190">
        <v>34700</v>
      </c>
      <c r="B164" s="188" t="s">
        <v>371</v>
      </c>
      <c r="C164" s="164">
        <v>-44625</v>
      </c>
      <c r="D164" s="164">
        <v>-30986</v>
      </c>
      <c r="E164" s="164">
        <v>8816</v>
      </c>
      <c r="F164" s="164">
        <v>5291</v>
      </c>
      <c r="G164" s="164">
        <v>4181</v>
      </c>
      <c r="H164" s="164"/>
      <c r="M164" s="162"/>
      <c r="N164" s="162"/>
      <c r="O164" s="162"/>
      <c r="P164" s="162"/>
      <c r="Q164" s="162"/>
    </row>
    <row r="165" spans="1:17" x14ac:dyDescent="0.25">
      <c r="A165" s="190">
        <v>34800</v>
      </c>
      <c r="B165" s="188" t="s">
        <v>372</v>
      </c>
      <c r="C165" s="164">
        <v>-2104</v>
      </c>
      <c r="D165" s="164">
        <v>-1198</v>
      </c>
      <c r="E165" s="164">
        <v>2003</v>
      </c>
      <c r="F165" s="164">
        <v>901</v>
      </c>
      <c r="G165" s="164">
        <v>499</v>
      </c>
      <c r="H165" s="164"/>
      <c r="M165" s="162"/>
      <c r="N165" s="162"/>
      <c r="O165" s="162"/>
      <c r="P165" s="162"/>
      <c r="Q165" s="162"/>
    </row>
    <row r="166" spans="1:17" x14ac:dyDescent="0.25">
      <c r="A166" s="190">
        <v>34900</v>
      </c>
      <c r="B166" s="188" t="s">
        <v>373</v>
      </c>
      <c r="C166" s="164">
        <v>-83904</v>
      </c>
      <c r="D166" s="164">
        <v>-58025</v>
      </c>
      <c r="E166" s="164">
        <v>28487</v>
      </c>
      <c r="F166" s="164">
        <v>14318</v>
      </c>
      <c r="G166" s="164">
        <v>7723</v>
      </c>
      <c r="H166" s="164"/>
      <c r="M166" s="162"/>
      <c r="N166" s="162"/>
      <c r="O166" s="162"/>
      <c r="P166" s="162"/>
      <c r="Q166" s="162"/>
    </row>
    <row r="167" spans="1:17" x14ac:dyDescent="0.25">
      <c r="A167" s="190">
        <v>34901</v>
      </c>
      <c r="B167" s="188" t="s">
        <v>495</v>
      </c>
      <c r="C167" s="164">
        <v>-2888</v>
      </c>
      <c r="D167" s="164">
        <v>-2183</v>
      </c>
      <c r="E167" s="164">
        <v>486</v>
      </c>
      <c r="F167" s="164">
        <v>287</v>
      </c>
      <c r="G167" s="164">
        <v>174</v>
      </c>
      <c r="H167" s="164"/>
      <c r="M167" s="162"/>
      <c r="N167" s="162"/>
      <c r="O167" s="162"/>
      <c r="P167" s="162"/>
      <c r="Q167" s="162"/>
    </row>
    <row r="168" spans="1:17" x14ac:dyDescent="0.25">
      <c r="A168" s="190">
        <v>34903</v>
      </c>
      <c r="B168" s="188" t="s">
        <v>375</v>
      </c>
      <c r="C168" s="164">
        <v>-354</v>
      </c>
      <c r="D168" s="164">
        <v>-324</v>
      </c>
      <c r="E168" s="164">
        <v>48</v>
      </c>
      <c r="F168" s="164">
        <v>86</v>
      </c>
      <c r="G168" s="164">
        <v>53</v>
      </c>
      <c r="H168" s="164"/>
      <c r="M168" s="162"/>
      <c r="N168" s="162"/>
      <c r="O168" s="162"/>
      <c r="P168" s="162"/>
      <c r="Q168" s="162"/>
    </row>
    <row r="169" spans="1:17" x14ac:dyDescent="0.25">
      <c r="A169" s="190">
        <v>34905</v>
      </c>
      <c r="B169" s="188" t="s">
        <v>80</v>
      </c>
      <c r="C169" s="164">
        <v>-5257</v>
      </c>
      <c r="D169" s="164">
        <v>-3206</v>
      </c>
      <c r="E169" s="164">
        <v>3279</v>
      </c>
      <c r="F169" s="164">
        <v>1340</v>
      </c>
      <c r="G169" s="164">
        <v>895</v>
      </c>
      <c r="H169" s="164"/>
      <c r="M169" s="162"/>
      <c r="N169" s="162"/>
      <c r="O169" s="162"/>
      <c r="P169" s="162"/>
      <c r="Q169" s="162"/>
    </row>
    <row r="170" spans="1:17" x14ac:dyDescent="0.25">
      <c r="A170" s="190">
        <v>34910</v>
      </c>
      <c r="B170" s="188" t="s">
        <v>376</v>
      </c>
      <c r="C170" s="164">
        <v>-25985</v>
      </c>
      <c r="D170" s="164">
        <v>-18784</v>
      </c>
      <c r="E170" s="164">
        <v>8680</v>
      </c>
      <c r="F170" s="164">
        <v>4250</v>
      </c>
      <c r="G170" s="164">
        <v>2479</v>
      </c>
      <c r="H170" s="164"/>
      <c r="M170" s="162"/>
      <c r="N170" s="162"/>
      <c r="O170" s="162"/>
      <c r="P170" s="162"/>
      <c r="Q170" s="162"/>
    </row>
    <row r="171" spans="1:17" x14ac:dyDescent="0.25">
      <c r="A171" s="190">
        <v>35000</v>
      </c>
      <c r="B171" s="188" t="s">
        <v>377</v>
      </c>
      <c r="C171" s="164">
        <v>-20675</v>
      </c>
      <c r="D171" s="164">
        <v>-13011</v>
      </c>
      <c r="E171" s="164">
        <v>5676</v>
      </c>
      <c r="F171" s="164">
        <v>2769</v>
      </c>
      <c r="G171" s="164">
        <v>1782</v>
      </c>
      <c r="H171" s="164"/>
      <c r="M171" s="162"/>
      <c r="N171" s="162"/>
      <c r="O171" s="162"/>
      <c r="P171" s="162"/>
      <c r="Q171" s="162"/>
    </row>
    <row r="172" spans="1:17" x14ac:dyDescent="0.25">
      <c r="A172" s="190">
        <v>35005</v>
      </c>
      <c r="B172" s="188" t="s">
        <v>81</v>
      </c>
      <c r="C172" s="164">
        <v>-4392</v>
      </c>
      <c r="D172" s="164">
        <v>-3096</v>
      </c>
      <c r="E172" s="164">
        <v>3135</v>
      </c>
      <c r="F172" s="164">
        <v>1700</v>
      </c>
      <c r="G172" s="164">
        <v>766</v>
      </c>
      <c r="H172" s="164"/>
      <c r="M172" s="162"/>
      <c r="N172" s="162"/>
      <c r="O172" s="162"/>
      <c r="P172" s="162"/>
      <c r="Q172" s="162"/>
    </row>
    <row r="173" spans="1:17" x14ac:dyDescent="0.25">
      <c r="A173" s="190">
        <v>35100</v>
      </c>
      <c r="B173" s="188" t="s">
        <v>378</v>
      </c>
      <c r="C173" s="164">
        <v>-159377</v>
      </c>
      <c r="D173" s="164">
        <v>-110577</v>
      </c>
      <c r="E173" s="164">
        <v>46521</v>
      </c>
      <c r="F173" s="164">
        <v>26398</v>
      </c>
      <c r="G173" s="164">
        <v>18182</v>
      </c>
      <c r="H173" s="164"/>
      <c r="M173" s="162"/>
      <c r="N173" s="162"/>
      <c r="O173" s="162"/>
      <c r="P173" s="162"/>
      <c r="Q173" s="162"/>
    </row>
    <row r="174" spans="1:17" x14ac:dyDescent="0.25">
      <c r="A174" s="190">
        <v>35105</v>
      </c>
      <c r="B174" s="188" t="s">
        <v>82</v>
      </c>
      <c r="C174" s="164">
        <v>-12618</v>
      </c>
      <c r="D174" s="164">
        <v>-9051</v>
      </c>
      <c r="E174" s="164">
        <v>4801</v>
      </c>
      <c r="F174" s="164">
        <v>2101</v>
      </c>
      <c r="G174" s="164">
        <v>1288</v>
      </c>
      <c r="H174" s="164"/>
      <c r="M174" s="162"/>
      <c r="N174" s="162"/>
      <c r="O174" s="162"/>
      <c r="P174" s="162"/>
      <c r="Q174" s="162"/>
    </row>
    <row r="175" spans="1:17" x14ac:dyDescent="0.25">
      <c r="A175" s="190">
        <v>35106</v>
      </c>
      <c r="B175" s="188" t="s">
        <v>379</v>
      </c>
      <c r="C175" s="164">
        <v>-2706</v>
      </c>
      <c r="D175" s="164">
        <v>-2026</v>
      </c>
      <c r="E175" s="164">
        <v>868</v>
      </c>
      <c r="F175" s="164">
        <v>505</v>
      </c>
      <c r="G175" s="164">
        <v>260</v>
      </c>
      <c r="H175" s="164"/>
      <c r="M175" s="162"/>
      <c r="N175" s="162"/>
      <c r="O175" s="162"/>
      <c r="P175" s="162"/>
      <c r="Q175" s="162"/>
    </row>
    <row r="176" spans="1:17" x14ac:dyDescent="0.25">
      <c r="A176" s="190">
        <v>35200</v>
      </c>
      <c r="B176" s="188" t="s">
        <v>380</v>
      </c>
      <c r="C176" s="164">
        <v>-3829</v>
      </c>
      <c r="D176" s="164">
        <v>-2673</v>
      </c>
      <c r="E176" s="164">
        <v>2701</v>
      </c>
      <c r="F176" s="164">
        <v>1376</v>
      </c>
      <c r="G176" s="164">
        <v>588</v>
      </c>
      <c r="H176" s="164"/>
      <c r="M176" s="162"/>
      <c r="N176" s="162"/>
      <c r="O176" s="162"/>
      <c r="P176" s="162"/>
      <c r="Q176" s="162"/>
    </row>
    <row r="177" spans="1:17" x14ac:dyDescent="0.25">
      <c r="A177" s="190">
        <v>35300</v>
      </c>
      <c r="B177" s="188" t="s">
        <v>505</v>
      </c>
      <c r="C177" s="164">
        <v>-42670</v>
      </c>
      <c r="D177" s="164">
        <v>-29776</v>
      </c>
      <c r="E177" s="164">
        <v>13406</v>
      </c>
      <c r="F177" s="164">
        <v>9250</v>
      </c>
      <c r="G177" s="164">
        <v>5951</v>
      </c>
      <c r="H177" s="164"/>
      <c r="M177" s="162"/>
      <c r="N177" s="162"/>
      <c r="O177" s="162"/>
      <c r="P177" s="162"/>
      <c r="Q177" s="162"/>
    </row>
    <row r="178" spans="1:17" x14ac:dyDescent="0.25">
      <c r="A178" s="190">
        <v>35305</v>
      </c>
      <c r="B178" s="188" t="s">
        <v>83</v>
      </c>
      <c r="C178" s="164">
        <v>-15340</v>
      </c>
      <c r="D178" s="164">
        <v>-10388</v>
      </c>
      <c r="E178" s="164">
        <v>5705</v>
      </c>
      <c r="F178" s="164">
        <v>2023</v>
      </c>
      <c r="G178" s="164">
        <v>818</v>
      </c>
      <c r="H178" s="164"/>
      <c r="M178" s="162"/>
      <c r="N178" s="162"/>
      <c r="O178" s="162"/>
      <c r="P178" s="162"/>
      <c r="Q178" s="162"/>
    </row>
    <row r="179" spans="1:17" x14ac:dyDescent="0.25">
      <c r="A179" s="190">
        <v>35400</v>
      </c>
      <c r="B179" s="188" t="s">
        <v>382</v>
      </c>
      <c r="C179" s="164">
        <v>-39240</v>
      </c>
      <c r="D179" s="164">
        <v>-24370</v>
      </c>
      <c r="E179" s="164">
        <v>11465</v>
      </c>
      <c r="F179" s="164">
        <v>6194</v>
      </c>
      <c r="G179" s="164">
        <v>4163</v>
      </c>
      <c r="H179" s="164"/>
      <c r="M179" s="162"/>
      <c r="N179" s="162"/>
      <c r="O179" s="162"/>
      <c r="P179" s="162"/>
      <c r="Q179" s="162"/>
    </row>
    <row r="180" spans="1:17" x14ac:dyDescent="0.25">
      <c r="A180" s="190">
        <v>35401</v>
      </c>
      <c r="B180" s="188" t="s">
        <v>383</v>
      </c>
      <c r="C180" s="164">
        <v>-244</v>
      </c>
      <c r="D180" s="164">
        <v>-236</v>
      </c>
      <c r="E180" s="164">
        <v>8</v>
      </c>
      <c r="F180" s="164">
        <v>-102</v>
      </c>
      <c r="G180" s="164">
        <v>-112</v>
      </c>
      <c r="H180" s="164"/>
      <c r="M180" s="162"/>
      <c r="N180" s="162"/>
      <c r="O180" s="162"/>
      <c r="P180" s="162"/>
      <c r="Q180" s="162"/>
    </row>
    <row r="181" spans="1:17" x14ac:dyDescent="0.25">
      <c r="A181" s="190">
        <v>35405</v>
      </c>
      <c r="B181" s="188" t="s">
        <v>84</v>
      </c>
      <c r="C181" s="164">
        <v>-7889</v>
      </c>
      <c r="D181" s="164">
        <v>-5178</v>
      </c>
      <c r="E181" s="164">
        <v>4419</v>
      </c>
      <c r="F181" s="164">
        <v>1776</v>
      </c>
      <c r="G181" s="164">
        <v>863</v>
      </c>
      <c r="H181" s="164"/>
      <c r="M181" s="162"/>
      <c r="N181" s="162"/>
      <c r="O181" s="162"/>
      <c r="P181" s="162"/>
      <c r="Q181" s="162"/>
    </row>
    <row r="182" spans="1:17" x14ac:dyDescent="0.25">
      <c r="A182" s="190">
        <v>35500</v>
      </c>
      <c r="B182" s="188" t="s">
        <v>384</v>
      </c>
      <c r="C182" s="164">
        <v>-45519</v>
      </c>
      <c r="D182" s="164">
        <v>-31289</v>
      </c>
      <c r="E182" s="164">
        <v>16032</v>
      </c>
      <c r="F182" s="164">
        <v>9108</v>
      </c>
      <c r="G182" s="164">
        <v>6020</v>
      </c>
      <c r="H182" s="164"/>
      <c r="M182" s="162"/>
      <c r="N182" s="162"/>
      <c r="O182" s="162"/>
      <c r="P182" s="162"/>
      <c r="Q182" s="162"/>
    </row>
    <row r="183" spans="1:17" x14ac:dyDescent="0.25">
      <c r="A183" s="190">
        <v>35600</v>
      </c>
      <c r="B183" s="188" t="s">
        <v>385</v>
      </c>
      <c r="C183" s="164">
        <v>-21323</v>
      </c>
      <c r="D183" s="164">
        <v>-15247</v>
      </c>
      <c r="E183" s="164">
        <v>6217</v>
      </c>
      <c r="F183" s="164">
        <v>3631</v>
      </c>
      <c r="G183" s="164">
        <v>2453</v>
      </c>
      <c r="H183" s="164"/>
      <c r="M183" s="162"/>
      <c r="N183" s="162"/>
      <c r="O183" s="162"/>
      <c r="P183" s="162"/>
      <c r="Q183" s="162"/>
    </row>
    <row r="184" spans="1:17" x14ac:dyDescent="0.25">
      <c r="A184" s="190">
        <v>35700</v>
      </c>
      <c r="B184" s="188" t="s">
        <v>386</v>
      </c>
      <c r="C184" s="164">
        <v>-9662</v>
      </c>
      <c r="D184" s="164">
        <v>-6225</v>
      </c>
      <c r="E184" s="164">
        <v>4218</v>
      </c>
      <c r="F184" s="164">
        <v>2138</v>
      </c>
      <c r="G184" s="164">
        <v>1530</v>
      </c>
      <c r="H184" s="164"/>
      <c r="M184" s="162"/>
      <c r="N184" s="162"/>
      <c r="O184" s="162"/>
      <c r="P184" s="162"/>
      <c r="Q184" s="162"/>
    </row>
    <row r="185" spans="1:17" x14ac:dyDescent="0.25">
      <c r="A185" s="190">
        <v>35800</v>
      </c>
      <c r="B185" s="188" t="s">
        <v>387</v>
      </c>
      <c r="C185" s="164">
        <v>-9871</v>
      </c>
      <c r="D185" s="164">
        <v>-6834</v>
      </c>
      <c r="E185" s="164">
        <v>6227</v>
      </c>
      <c r="F185" s="164">
        <v>3281</v>
      </c>
      <c r="G185" s="164">
        <v>2359</v>
      </c>
      <c r="H185" s="164"/>
      <c r="M185" s="162"/>
      <c r="N185" s="162"/>
      <c r="O185" s="162"/>
      <c r="P185" s="162"/>
      <c r="Q185" s="162"/>
    </row>
    <row r="186" spans="1:17" x14ac:dyDescent="0.25">
      <c r="A186" s="190">
        <v>35805</v>
      </c>
      <c r="B186" s="188" t="s">
        <v>85</v>
      </c>
      <c r="C186" s="164">
        <v>-1410</v>
      </c>
      <c r="D186" s="164">
        <v>-1116</v>
      </c>
      <c r="E186" s="164">
        <v>1247</v>
      </c>
      <c r="F186" s="164">
        <v>641</v>
      </c>
      <c r="G186" s="164">
        <v>280</v>
      </c>
      <c r="H186" s="164"/>
      <c r="M186" s="162"/>
      <c r="N186" s="162"/>
      <c r="O186" s="162"/>
      <c r="P186" s="162"/>
      <c r="Q186" s="162"/>
    </row>
    <row r="187" spans="1:17" x14ac:dyDescent="0.25">
      <c r="A187" s="190">
        <v>35900</v>
      </c>
      <c r="B187" s="188" t="s">
        <v>388</v>
      </c>
      <c r="C187" s="164">
        <v>-20118</v>
      </c>
      <c r="D187" s="164">
        <v>-13932</v>
      </c>
      <c r="E187" s="164">
        <v>10582</v>
      </c>
      <c r="F187" s="164">
        <v>5541</v>
      </c>
      <c r="G187" s="164">
        <v>3371</v>
      </c>
      <c r="H187" s="164"/>
      <c r="M187" s="162"/>
      <c r="N187" s="162"/>
      <c r="O187" s="162"/>
      <c r="P187" s="162"/>
      <c r="Q187" s="162"/>
    </row>
    <row r="188" spans="1:17" x14ac:dyDescent="0.25">
      <c r="A188" s="190">
        <v>35905</v>
      </c>
      <c r="B188" s="188" t="s">
        <v>86</v>
      </c>
      <c r="C188" s="164">
        <v>-2786</v>
      </c>
      <c r="D188" s="164">
        <v>-1421</v>
      </c>
      <c r="E188" s="164">
        <v>2258</v>
      </c>
      <c r="F188" s="164">
        <v>1020</v>
      </c>
      <c r="G188" s="164">
        <v>486</v>
      </c>
      <c r="H188" s="164"/>
      <c r="M188" s="162"/>
      <c r="N188" s="162"/>
      <c r="O188" s="162"/>
      <c r="P188" s="162"/>
      <c r="Q188" s="162"/>
    </row>
    <row r="189" spans="1:17" x14ac:dyDescent="0.25">
      <c r="A189" s="190">
        <v>36000</v>
      </c>
      <c r="B189" s="188" t="s">
        <v>389</v>
      </c>
      <c r="C189" s="164">
        <v>-713933</v>
      </c>
      <c r="D189" s="164">
        <v>-527265</v>
      </c>
      <c r="E189" s="164">
        <v>186196</v>
      </c>
      <c r="F189" s="164">
        <v>88425</v>
      </c>
      <c r="G189" s="164">
        <v>52459</v>
      </c>
      <c r="H189" s="164"/>
      <c r="M189" s="162"/>
      <c r="N189" s="162"/>
      <c r="O189" s="162"/>
      <c r="P189" s="162"/>
      <c r="Q189" s="162"/>
    </row>
    <row r="190" spans="1:17" x14ac:dyDescent="0.25">
      <c r="A190" s="190">
        <v>36001</v>
      </c>
      <c r="B190" s="188" t="s">
        <v>390</v>
      </c>
      <c r="C190" s="164">
        <v>0</v>
      </c>
      <c r="D190" s="164">
        <v>0</v>
      </c>
      <c r="E190" s="164">
        <v>0</v>
      </c>
      <c r="F190" s="164">
        <v>0</v>
      </c>
      <c r="G190" s="164">
        <v>0</v>
      </c>
      <c r="H190" s="164"/>
      <c r="M190" s="162"/>
      <c r="N190" s="162"/>
      <c r="O190" s="162"/>
      <c r="P190" s="162"/>
      <c r="Q190" s="162"/>
    </row>
    <row r="191" spans="1:17" x14ac:dyDescent="0.25">
      <c r="A191" s="190">
        <v>36003</v>
      </c>
      <c r="B191" s="188" t="s">
        <v>391</v>
      </c>
      <c r="C191" s="164">
        <v>-4597</v>
      </c>
      <c r="D191" s="164">
        <v>-3583</v>
      </c>
      <c r="E191" s="164">
        <v>1391</v>
      </c>
      <c r="F191" s="164">
        <v>1073</v>
      </c>
      <c r="G191" s="164">
        <v>625</v>
      </c>
      <c r="H191" s="164"/>
      <c r="M191" s="162"/>
      <c r="N191" s="162"/>
      <c r="O191" s="162"/>
      <c r="P191" s="162"/>
      <c r="Q191" s="162"/>
    </row>
    <row r="192" spans="1:17" x14ac:dyDescent="0.25">
      <c r="A192" s="190">
        <v>36004</v>
      </c>
      <c r="B192" s="188" t="s">
        <v>392</v>
      </c>
      <c r="C192" s="164">
        <v>-5670</v>
      </c>
      <c r="D192" s="164">
        <v>-4143</v>
      </c>
      <c r="E192" s="164">
        <v>110</v>
      </c>
      <c r="F192" s="164">
        <v>-60</v>
      </c>
      <c r="G192" s="164">
        <v>-5</v>
      </c>
      <c r="H192" s="164"/>
      <c r="M192" s="162"/>
      <c r="N192" s="162"/>
      <c r="O192" s="162"/>
      <c r="P192" s="162"/>
      <c r="Q192" s="162"/>
    </row>
    <row r="193" spans="1:17" x14ac:dyDescent="0.25">
      <c r="A193" s="190">
        <v>36005</v>
      </c>
      <c r="B193" s="188" t="s">
        <v>87</v>
      </c>
      <c r="C193" s="164">
        <v>-40034</v>
      </c>
      <c r="D193" s="164">
        <v>-25692</v>
      </c>
      <c r="E193" s="164">
        <v>25163</v>
      </c>
      <c r="F193" s="164">
        <v>10976</v>
      </c>
      <c r="G193" s="164">
        <v>6165</v>
      </c>
      <c r="H193" s="164"/>
      <c r="M193" s="162"/>
      <c r="N193" s="162"/>
      <c r="O193" s="162"/>
      <c r="P193" s="162"/>
      <c r="Q193" s="162"/>
    </row>
    <row r="194" spans="1:17" x14ac:dyDescent="0.25">
      <c r="A194" s="190">
        <v>36006</v>
      </c>
      <c r="B194" s="188" t="s">
        <v>393</v>
      </c>
      <c r="C194" s="164">
        <v>-9715</v>
      </c>
      <c r="D194" s="164">
        <v>-6908</v>
      </c>
      <c r="E194" s="164">
        <v>1454</v>
      </c>
      <c r="F194" s="164">
        <v>907</v>
      </c>
      <c r="G194" s="164">
        <v>521</v>
      </c>
      <c r="H194" s="164"/>
      <c r="M194" s="162"/>
      <c r="N194" s="162"/>
      <c r="O194" s="162"/>
      <c r="P194" s="162"/>
      <c r="Q194" s="162"/>
    </row>
    <row r="195" spans="1:17" x14ac:dyDescent="0.25">
      <c r="A195" s="190">
        <v>36007</v>
      </c>
      <c r="B195" s="188" t="s">
        <v>394</v>
      </c>
      <c r="C195" s="164">
        <v>-4939</v>
      </c>
      <c r="D195" s="164">
        <v>-3557</v>
      </c>
      <c r="E195" s="164">
        <v>233</v>
      </c>
      <c r="F195" s="164">
        <v>452</v>
      </c>
      <c r="G195" s="164">
        <v>325</v>
      </c>
      <c r="H195" s="164"/>
      <c r="M195" s="162"/>
      <c r="N195" s="162"/>
      <c r="O195" s="162"/>
      <c r="P195" s="162"/>
      <c r="Q195" s="162"/>
    </row>
    <row r="196" spans="1:17" x14ac:dyDescent="0.25">
      <c r="A196" s="190">
        <v>36008</v>
      </c>
      <c r="B196" s="188" t="s">
        <v>395</v>
      </c>
      <c r="C196" s="164">
        <v>-9066</v>
      </c>
      <c r="D196" s="164">
        <v>-6345</v>
      </c>
      <c r="E196" s="164">
        <v>1069</v>
      </c>
      <c r="F196" s="164">
        <v>700</v>
      </c>
      <c r="G196" s="164">
        <v>352</v>
      </c>
      <c r="H196" s="164"/>
      <c r="M196" s="162"/>
      <c r="N196" s="162"/>
      <c r="O196" s="162"/>
      <c r="P196" s="162"/>
      <c r="Q196" s="162"/>
    </row>
    <row r="197" spans="1:17" x14ac:dyDescent="0.25">
      <c r="A197" s="190">
        <v>36009</v>
      </c>
      <c r="B197" s="188" t="s">
        <v>396</v>
      </c>
      <c r="C197" s="164">
        <v>-350</v>
      </c>
      <c r="D197" s="164">
        <v>-321</v>
      </c>
      <c r="E197" s="164">
        <v>487</v>
      </c>
      <c r="F197" s="164">
        <v>346</v>
      </c>
      <c r="G197" s="164">
        <v>266</v>
      </c>
      <c r="H197" s="164"/>
      <c r="M197" s="162"/>
      <c r="N197" s="162"/>
      <c r="O197" s="162"/>
      <c r="P197" s="162"/>
      <c r="Q197" s="162"/>
    </row>
    <row r="198" spans="1:17" x14ac:dyDescent="0.25">
      <c r="A198" s="190">
        <v>36100</v>
      </c>
      <c r="B198" s="188" t="s">
        <v>397</v>
      </c>
      <c r="C198" s="164">
        <v>-7030</v>
      </c>
      <c r="D198" s="164">
        <v>-4401</v>
      </c>
      <c r="E198" s="164">
        <v>3639</v>
      </c>
      <c r="F198" s="164">
        <v>1915</v>
      </c>
      <c r="G198" s="164">
        <v>1229</v>
      </c>
      <c r="H198" s="164"/>
      <c r="M198" s="162"/>
      <c r="N198" s="162"/>
      <c r="O198" s="162"/>
      <c r="P198" s="162"/>
      <c r="Q198" s="162"/>
    </row>
    <row r="199" spans="1:17" x14ac:dyDescent="0.25">
      <c r="A199" s="190">
        <v>36102</v>
      </c>
      <c r="B199" s="188" t="s">
        <v>398</v>
      </c>
      <c r="C199" s="164">
        <v>1850</v>
      </c>
      <c r="D199" s="164">
        <v>1850</v>
      </c>
      <c r="E199" s="164">
        <v>1847</v>
      </c>
      <c r="F199" s="164">
        <v>2004</v>
      </c>
      <c r="G199" s="164">
        <v>2488</v>
      </c>
      <c r="H199" s="164"/>
      <c r="M199" s="162"/>
      <c r="N199" s="162"/>
      <c r="O199" s="162"/>
      <c r="P199" s="162"/>
      <c r="Q199" s="162"/>
    </row>
    <row r="200" spans="1:17" x14ac:dyDescent="0.25">
      <c r="A200" s="190">
        <v>36105</v>
      </c>
      <c r="B200" s="188" t="s">
        <v>88</v>
      </c>
      <c r="C200" s="164">
        <v>-1673</v>
      </c>
      <c r="D200" s="164">
        <v>-825</v>
      </c>
      <c r="E200" s="164">
        <v>2150</v>
      </c>
      <c r="F200" s="164">
        <v>801</v>
      </c>
      <c r="G200" s="164">
        <v>579</v>
      </c>
      <c r="H200" s="164"/>
      <c r="M200" s="162"/>
      <c r="N200" s="162"/>
      <c r="O200" s="162"/>
      <c r="P200" s="162"/>
      <c r="Q200" s="162"/>
    </row>
    <row r="201" spans="1:17" x14ac:dyDescent="0.25">
      <c r="A201" s="190">
        <v>36200</v>
      </c>
      <c r="B201" s="188" t="s">
        <v>399</v>
      </c>
      <c r="C201" s="164">
        <v>-11125</v>
      </c>
      <c r="D201" s="164">
        <v>-6787</v>
      </c>
      <c r="E201" s="164">
        <v>8329</v>
      </c>
      <c r="F201" s="164">
        <v>4116</v>
      </c>
      <c r="G201" s="164">
        <v>2609</v>
      </c>
      <c r="H201" s="164"/>
      <c r="M201" s="162"/>
      <c r="N201" s="162"/>
      <c r="O201" s="162"/>
      <c r="P201" s="162"/>
      <c r="Q201" s="162"/>
    </row>
    <row r="202" spans="1:17" x14ac:dyDescent="0.25">
      <c r="A202" s="190">
        <v>36205</v>
      </c>
      <c r="B202" s="188" t="s">
        <v>89</v>
      </c>
      <c r="C202" s="164">
        <v>-3677</v>
      </c>
      <c r="D202" s="164">
        <v>-2672</v>
      </c>
      <c r="E202" s="164">
        <v>1014</v>
      </c>
      <c r="F202" s="164">
        <v>558</v>
      </c>
      <c r="G202" s="164">
        <v>420</v>
      </c>
      <c r="H202" s="164"/>
      <c r="M202" s="162"/>
      <c r="N202" s="162"/>
      <c r="O202" s="162"/>
      <c r="P202" s="162"/>
      <c r="Q202" s="162"/>
    </row>
    <row r="203" spans="1:17" x14ac:dyDescent="0.25">
      <c r="A203" s="190">
        <v>36300</v>
      </c>
      <c r="B203" s="188" t="s">
        <v>400</v>
      </c>
      <c r="C203" s="164">
        <v>-54686</v>
      </c>
      <c r="D203" s="164">
        <v>-37437</v>
      </c>
      <c r="E203" s="164">
        <v>19799</v>
      </c>
      <c r="F203" s="164">
        <v>10470</v>
      </c>
      <c r="G203" s="164">
        <v>6741</v>
      </c>
      <c r="H203" s="164"/>
      <c r="M203" s="162"/>
      <c r="N203" s="162"/>
      <c r="O203" s="162"/>
      <c r="P203" s="162"/>
      <c r="Q203" s="162"/>
    </row>
    <row r="204" spans="1:17" x14ac:dyDescent="0.25">
      <c r="A204" s="190">
        <v>36301</v>
      </c>
      <c r="B204" s="188" t="s">
        <v>401</v>
      </c>
      <c r="C204" s="164">
        <v>-1851</v>
      </c>
      <c r="D204" s="164">
        <v>-1466</v>
      </c>
      <c r="E204" s="164">
        <v>71</v>
      </c>
      <c r="F204" s="164">
        <v>17</v>
      </c>
      <c r="G204" s="164">
        <v>-29</v>
      </c>
      <c r="H204" s="164"/>
      <c r="M204" s="162"/>
      <c r="N204" s="162"/>
      <c r="O204" s="162"/>
      <c r="P204" s="162"/>
      <c r="Q204" s="162"/>
    </row>
    <row r="205" spans="1:17" x14ac:dyDescent="0.25">
      <c r="A205" s="190">
        <v>36302</v>
      </c>
      <c r="B205" s="188" t="s">
        <v>402</v>
      </c>
      <c r="C205" s="164">
        <v>-3988</v>
      </c>
      <c r="D205" s="164">
        <v>-2875</v>
      </c>
      <c r="E205" s="164">
        <v>23</v>
      </c>
      <c r="F205" s="164">
        <v>144</v>
      </c>
      <c r="G205" s="164">
        <v>-21</v>
      </c>
      <c r="H205" s="164"/>
      <c r="M205" s="162"/>
      <c r="N205" s="162"/>
      <c r="O205" s="162"/>
      <c r="P205" s="162"/>
      <c r="Q205" s="162"/>
    </row>
    <row r="206" spans="1:17" x14ac:dyDescent="0.25">
      <c r="A206" s="190">
        <v>36303</v>
      </c>
      <c r="B206" s="188" t="s">
        <v>403</v>
      </c>
      <c r="C206" s="164">
        <v>-5619</v>
      </c>
      <c r="D206" s="164">
        <v>-4105</v>
      </c>
      <c r="E206" s="164">
        <v>-97</v>
      </c>
      <c r="F206" s="164">
        <v>-36</v>
      </c>
      <c r="G206" s="164">
        <v>106</v>
      </c>
      <c r="H206" s="164"/>
      <c r="M206" s="162"/>
      <c r="N206" s="162"/>
      <c r="O206" s="162"/>
      <c r="P206" s="162"/>
      <c r="Q206" s="162"/>
    </row>
    <row r="207" spans="1:17" x14ac:dyDescent="0.25">
      <c r="A207" s="190">
        <v>36305</v>
      </c>
      <c r="B207" s="188" t="s">
        <v>90</v>
      </c>
      <c r="C207" s="164">
        <v>-10850</v>
      </c>
      <c r="D207" s="164">
        <v>-7030</v>
      </c>
      <c r="E207" s="164">
        <v>4737</v>
      </c>
      <c r="F207" s="164">
        <v>2191</v>
      </c>
      <c r="G207" s="164">
        <v>1177</v>
      </c>
      <c r="H207" s="164"/>
      <c r="M207" s="162"/>
      <c r="N207" s="162"/>
      <c r="O207" s="162"/>
      <c r="P207" s="162"/>
      <c r="Q207" s="162"/>
    </row>
    <row r="208" spans="1:17" x14ac:dyDescent="0.25">
      <c r="A208" s="190">
        <v>36310</v>
      </c>
      <c r="B208" s="188" t="s">
        <v>404</v>
      </c>
      <c r="C208" s="164">
        <v>0</v>
      </c>
      <c r="D208" s="164">
        <v>0</v>
      </c>
      <c r="E208" s="164">
        <v>0</v>
      </c>
      <c r="F208" s="164">
        <v>0</v>
      </c>
      <c r="G208" s="164">
        <v>0</v>
      </c>
      <c r="H208" s="164"/>
      <c r="M208" s="162"/>
      <c r="N208" s="162"/>
      <c r="O208" s="162"/>
      <c r="P208" s="162"/>
      <c r="Q208" s="162"/>
    </row>
    <row r="209" spans="1:17" x14ac:dyDescent="0.25">
      <c r="A209" s="190">
        <v>36400</v>
      </c>
      <c r="B209" s="188" t="s">
        <v>405</v>
      </c>
      <c r="C209" s="164">
        <v>-44466</v>
      </c>
      <c r="D209" s="164">
        <v>-30151</v>
      </c>
      <c r="E209" s="164">
        <v>24690</v>
      </c>
      <c r="F209" s="164">
        <v>12526</v>
      </c>
      <c r="G209" s="164">
        <v>7979</v>
      </c>
      <c r="H209" s="164"/>
      <c r="M209" s="162"/>
      <c r="N209" s="162"/>
      <c r="O209" s="162"/>
      <c r="P209" s="162"/>
      <c r="Q209" s="162"/>
    </row>
    <row r="210" spans="1:17" x14ac:dyDescent="0.25">
      <c r="A210" s="190">
        <v>36401</v>
      </c>
      <c r="B210" s="188" t="s">
        <v>551</v>
      </c>
      <c r="C210" s="164">
        <v>-716</v>
      </c>
      <c r="D210" s="164">
        <v>-551</v>
      </c>
      <c r="E210" s="164">
        <v>185</v>
      </c>
      <c r="F210" s="164">
        <v>92</v>
      </c>
      <c r="G210" s="164">
        <v>59</v>
      </c>
      <c r="H210" s="164"/>
      <c r="M210" s="162"/>
      <c r="N210" s="162"/>
      <c r="O210" s="162"/>
      <c r="P210" s="162"/>
      <c r="Q210" s="162"/>
    </row>
    <row r="211" spans="1:17" x14ac:dyDescent="0.25">
      <c r="A211" s="190">
        <v>36405</v>
      </c>
      <c r="B211" s="188" t="s">
        <v>406</v>
      </c>
      <c r="C211" s="164">
        <v>-4461</v>
      </c>
      <c r="D211" s="164">
        <v>-2782</v>
      </c>
      <c r="E211" s="164">
        <v>3962</v>
      </c>
      <c r="F211" s="164">
        <v>1808</v>
      </c>
      <c r="G211" s="164">
        <v>1187</v>
      </c>
      <c r="H211" s="164"/>
      <c r="M211" s="162"/>
      <c r="N211" s="162"/>
      <c r="O211" s="162"/>
      <c r="P211" s="162"/>
      <c r="Q211" s="162"/>
    </row>
    <row r="212" spans="1:17" x14ac:dyDescent="0.25">
      <c r="A212" s="190">
        <v>36500</v>
      </c>
      <c r="B212" s="188" t="s">
        <v>407</v>
      </c>
      <c r="C212" s="164">
        <v>-136169</v>
      </c>
      <c r="D212" s="164">
        <v>-87045</v>
      </c>
      <c r="E212" s="164">
        <v>42213</v>
      </c>
      <c r="F212" s="164">
        <v>20675</v>
      </c>
      <c r="G212" s="164">
        <v>11383</v>
      </c>
      <c r="H212" s="164"/>
      <c r="M212" s="162"/>
      <c r="N212" s="162"/>
      <c r="O212" s="162"/>
      <c r="P212" s="162"/>
      <c r="Q212" s="162"/>
    </row>
    <row r="213" spans="1:17" x14ac:dyDescent="0.25">
      <c r="A213" s="190">
        <v>36501</v>
      </c>
      <c r="B213" s="188" t="s">
        <v>496</v>
      </c>
      <c r="C213" s="164">
        <v>-2167</v>
      </c>
      <c r="D213" s="164">
        <v>-1626</v>
      </c>
      <c r="E213" s="164">
        <v>265</v>
      </c>
      <c r="F213" s="164">
        <v>116</v>
      </c>
      <c r="G213" s="164">
        <v>81</v>
      </c>
      <c r="H213" s="164"/>
      <c r="M213" s="162"/>
      <c r="N213" s="162"/>
      <c r="O213" s="162"/>
      <c r="P213" s="162"/>
      <c r="Q213" s="162"/>
    </row>
    <row r="214" spans="1:17" x14ac:dyDescent="0.25">
      <c r="A214" s="190">
        <v>36502</v>
      </c>
      <c r="B214" s="188" t="s">
        <v>409</v>
      </c>
      <c r="C214" s="164">
        <v>-42</v>
      </c>
      <c r="D214" s="164">
        <v>-30</v>
      </c>
      <c r="E214" s="164">
        <v>176</v>
      </c>
      <c r="F214" s="164">
        <v>114</v>
      </c>
      <c r="G214" s="164">
        <v>41</v>
      </c>
      <c r="H214" s="164"/>
      <c r="M214" s="162"/>
      <c r="N214" s="162"/>
      <c r="O214" s="162"/>
      <c r="P214" s="162"/>
      <c r="Q214" s="162"/>
    </row>
    <row r="215" spans="1:17" x14ac:dyDescent="0.25">
      <c r="A215" s="190">
        <v>36505</v>
      </c>
      <c r="B215" s="188" t="s">
        <v>92</v>
      </c>
      <c r="C215" s="164">
        <v>-21973</v>
      </c>
      <c r="D215" s="164">
        <v>-13945</v>
      </c>
      <c r="E215" s="164">
        <v>10103</v>
      </c>
      <c r="F215" s="164">
        <v>5255</v>
      </c>
      <c r="G215" s="164">
        <v>3094</v>
      </c>
      <c r="H215" s="164"/>
      <c r="M215" s="162"/>
      <c r="N215" s="162"/>
      <c r="O215" s="162"/>
      <c r="P215" s="162"/>
      <c r="Q215" s="162"/>
    </row>
    <row r="216" spans="1:17" x14ac:dyDescent="0.25">
      <c r="A216" s="190">
        <v>36600</v>
      </c>
      <c r="B216" s="188" t="s">
        <v>410</v>
      </c>
      <c r="C216" s="164">
        <v>-1939</v>
      </c>
      <c r="D216" s="164">
        <v>-1323</v>
      </c>
      <c r="E216" s="164">
        <v>3916</v>
      </c>
      <c r="F216" s="164">
        <v>2177</v>
      </c>
      <c r="G216" s="164">
        <v>1303</v>
      </c>
      <c r="H216" s="164"/>
      <c r="M216" s="162"/>
      <c r="N216" s="162"/>
      <c r="O216" s="162"/>
      <c r="P216" s="162"/>
      <c r="Q216" s="162"/>
    </row>
    <row r="217" spans="1:17" x14ac:dyDescent="0.25">
      <c r="A217" s="190">
        <v>36601</v>
      </c>
      <c r="B217" s="188" t="s">
        <v>411</v>
      </c>
      <c r="C217" s="164">
        <v>3769</v>
      </c>
      <c r="D217" s="164">
        <v>3769</v>
      </c>
      <c r="E217" s="164">
        <v>3765</v>
      </c>
      <c r="F217" s="164">
        <v>432</v>
      </c>
      <c r="G217" s="164">
        <v>61</v>
      </c>
      <c r="H217" s="164"/>
      <c r="M217" s="162"/>
      <c r="N217" s="162"/>
      <c r="O217" s="162"/>
      <c r="P217" s="162"/>
      <c r="Q217" s="162"/>
    </row>
    <row r="218" spans="1:17" x14ac:dyDescent="0.25">
      <c r="A218" s="190">
        <v>36700</v>
      </c>
      <c r="B218" s="188" t="s">
        <v>412</v>
      </c>
      <c r="C218" s="164">
        <v>-132416</v>
      </c>
      <c r="D218" s="164">
        <v>-91671</v>
      </c>
      <c r="E218" s="164">
        <v>37878</v>
      </c>
      <c r="F218" s="164">
        <v>19831</v>
      </c>
      <c r="G218" s="164">
        <v>13943</v>
      </c>
      <c r="H218" s="164"/>
      <c r="M218" s="162"/>
      <c r="N218" s="162"/>
      <c r="O218" s="162"/>
      <c r="P218" s="162"/>
      <c r="Q218" s="162"/>
    </row>
    <row r="219" spans="1:17" x14ac:dyDescent="0.25">
      <c r="A219" s="190">
        <v>36701</v>
      </c>
      <c r="B219" s="188" t="s">
        <v>413</v>
      </c>
      <c r="C219" s="164">
        <v>-572</v>
      </c>
      <c r="D219" s="164">
        <v>-535</v>
      </c>
      <c r="E219" s="164">
        <v>-5</v>
      </c>
      <c r="F219" s="164">
        <v>56</v>
      </c>
      <c r="G219" s="164">
        <v>27</v>
      </c>
      <c r="H219" s="164"/>
      <c r="M219" s="162"/>
      <c r="N219" s="162"/>
      <c r="O219" s="162"/>
      <c r="P219" s="162"/>
      <c r="Q219" s="162"/>
    </row>
    <row r="220" spans="1:17" x14ac:dyDescent="0.25">
      <c r="A220" s="190">
        <v>36705</v>
      </c>
      <c r="B220" s="188" t="s">
        <v>93</v>
      </c>
      <c r="C220" s="164">
        <v>-7654</v>
      </c>
      <c r="D220" s="164">
        <v>-6458</v>
      </c>
      <c r="E220" s="164">
        <v>3791</v>
      </c>
      <c r="F220" s="164">
        <v>2509</v>
      </c>
      <c r="G220" s="164">
        <v>1330</v>
      </c>
      <c r="H220" s="164"/>
      <c r="M220" s="162"/>
      <c r="N220" s="162"/>
      <c r="O220" s="162"/>
      <c r="P220" s="162"/>
      <c r="Q220" s="162"/>
    </row>
    <row r="221" spans="1:17" x14ac:dyDescent="0.25">
      <c r="A221" s="190">
        <v>36800</v>
      </c>
      <c r="B221" s="188" t="s">
        <v>414</v>
      </c>
      <c r="C221" s="164">
        <v>-39629</v>
      </c>
      <c r="D221" s="164">
        <v>-25637</v>
      </c>
      <c r="E221" s="164">
        <v>15733</v>
      </c>
      <c r="F221" s="164">
        <v>7642</v>
      </c>
      <c r="G221" s="164">
        <v>4601</v>
      </c>
      <c r="H221" s="164"/>
      <c r="M221" s="162"/>
      <c r="N221" s="162"/>
      <c r="O221" s="162"/>
      <c r="P221" s="162"/>
      <c r="Q221" s="162"/>
    </row>
    <row r="222" spans="1:17" x14ac:dyDescent="0.25">
      <c r="A222" s="190">
        <v>36802</v>
      </c>
      <c r="B222" s="188" t="s">
        <v>415</v>
      </c>
      <c r="C222" s="164">
        <v>-4343</v>
      </c>
      <c r="D222" s="164">
        <v>-3314</v>
      </c>
      <c r="E222" s="164">
        <v>36</v>
      </c>
      <c r="F222" s="164">
        <v>-114</v>
      </c>
      <c r="G222" s="164">
        <v>274</v>
      </c>
      <c r="H222" s="164"/>
      <c r="M222" s="162"/>
      <c r="N222" s="162"/>
      <c r="O222" s="162"/>
      <c r="P222" s="162"/>
      <c r="Q222" s="162"/>
    </row>
    <row r="223" spans="1:17" x14ac:dyDescent="0.25">
      <c r="A223" s="190">
        <v>36810</v>
      </c>
      <c r="B223" s="188" t="s">
        <v>416</v>
      </c>
      <c r="C223" s="164">
        <v>-80002</v>
      </c>
      <c r="D223" s="164">
        <v>-55872</v>
      </c>
      <c r="E223" s="164">
        <v>24055</v>
      </c>
      <c r="F223" s="164">
        <v>12465</v>
      </c>
      <c r="G223" s="164">
        <v>7313</v>
      </c>
      <c r="H223" s="164"/>
      <c r="M223" s="162"/>
      <c r="N223" s="162"/>
      <c r="O223" s="162"/>
      <c r="P223" s="162"/>
      <c r="Q223" s="162"/>
    </row>
    <row r="224" spans="1:17" x14ac:dyDescent="0.25">
      <c r="A224" s="190">
        <v>36900</v>
      </c>
      <c r="B224" s="188" t="s">
        <v>417</v>
      </c>
      <c r="C224" s="164">
        <v>-7854</v>
      </c>
      <c r="D224" s="164">
        <v>-4876</v>
      </c>
      <c r="E224" s="164">
        <v>2250</v>
      </c>
      <c r="F224" s="164">
        <v>1542</v>
      </c>
      <c r="G224" s="164">
        <v>1117</v>
      </c>
      <c r="H224" s="164"/>
      <c r="M224" s="162"/>
      <c r="N224" s="162"/>
      <c r="O224" s="162"/>
      <c r="P224" s="162"/>
      <c r="Q224" s="162"/>
    </row>
    <row r="225" spans="1:17" x14ac:dyDescent="0.25">
      <c r="A225" s="190">
        <v>36901</v>
      </c>
      <c r="B225" s="188" t="s">
        <v>418</v>
      </c>
      <c r="C225" s="164">
        <v>-1779</v>
      </c>
      <c r="D225" s="164">
        <v>-1087</v>
      </c>
      <c r="E225" s="164">
        <v>1054</v>
      </c>
      <c r="F225" s="164">
        <v>720</v>
      </c>
      <c r="G225" s="164">
        <v>566</v>
      </c>
      <c r="H225" s="164"/>
      <c r="M225" s="162"/>
      <c r="N225" s="162"/>
      <c r="O225" s="162"/>
      <c r="P225" s="162"/>
      <c r="Q225" s="162"/>
    </row>
    <row r="226" spans="1:17" x14ac:dyDescent="0.25">
      <c r="A226" s="190">
        <v>36905</v>
      </c>
      <c r="B226" s="188" t="s">
        <v>94</v>
      </c>
      <c r="C226" s="164">
        <v>-1087</v>
      </c>
      <c r="D226" s="164">
        <v>-728</v>
      </c>
      <c r="E226" s="164">
        <v>983</v>
      </c>
      <c r="F226" s="164">
        <v>400</v>
      </c>
      <c r="G226" s="164">
        <v>241</v>
      </c>
      <c r="H226" s="164"/>
      <c r="M226" s="162"/>
      <c r="N226" s="162"/>
      <c r="O226" s="162"/>
      <c r="P226" s="162"/>
      <c r="Q226" s="162"/>
    </row>
    <row r="227" spans="1:17" x14ac:dyDescent="0.25">
      <c r="A227" s="190">
        <v>37000</v>
      </c>
      <c r="B227" s="188" t="s">
        <v>419</v>
      </c>
      <c r="C227" s="164">
        <v>-19297</v>
      </c>
      <c r="D227" s="164">
        <v>-12270</v>
      </c>
      <c r="E227" s="164">
        <v>9803</v>
      </c>
      <c r="F227" s="164">
        <v>5142</v>
      </c>
      <c r="G227" s="164">
        <v>3433</v>
      </c>
      <c r="H227" s="164"/>
      <c r="M227" s="162"/>
      <c r="N227" s="162"/>
      <c r="O227" s="162"/>
      <c r="P227" s="162"/>
      <c r="Q227" s="162"/>
    </row>
    <row r="228" spans="1:17" x14ac:dyDescent="0.25">
      <c r="A228" s="190">
        <v>37001</v>
      </c>
      <c r="B228" s="188" t="s">
        <v>497</v>
      </c>
      <c r="C228" s="164">
        <v>-3709</v>
      </c>
      <c r="D228" s="164">
        <v>-2800</v>
      </c>
      <c r="E228" s="164">
        <v>-222</v>
      </c>
      <c r="F228" s="164">
        <v>-2</v>
      </c>
      <c r="G228" s="164">
        <v>105</v>
      </c>
      <c r="H228" s="164"/>
      <c r="M228" s="162"/>
      <c r="N228" s="162"/>
      <c r="O228" s="162"/>
      <c r="P228" s="162"/>
      <c r="Q228" s="162"/>
    </row>
    <row r="229" spans="1:17" x14ac:dyDescent="0.25">
      <c r="A229" s="190">
        <v>37005</v>
      </c>
      <c r="B229" s="188" t="s">
        <v>95</v>
      </c>
      <c r="C229" s="164">
        <v>-6483</v>
      </c>
      <c r="D229" s="164">
        <v>-4346</v>
      </c>
      <c r="E229" s="164">
        <v>2369</v>
      </c>
      <c r="F229" s="164">
        <v>981</v>
      </c>
      <c r="G229" s="164">
        <v>530</v>
      </c>
      <c r="H229" s="164"/>
      <c r="M229" s="162"/>
      <c r="N229" s="162"/>
      <c r="O229" s="162"/>
      <c r="P229" s="162"/>
      <c r="Q229" s="162"/>
    </row>
    <row r="230" spans="1:17" x14ac:dyDescent="0.25">
      <c r="A230" s="190">
        <v>37100</v>
      </c>
      <c r="B230" s="188" t="s">
        <v>421</v>
      </c>
      <c r="C230" s="164">
        <v>-55526</v>
      </c>
      <c r="D230" s="164">
        <v>-37879</v>
      </c>
      <c r="E230" s="164">
        <v>12494</v>
      </c>
      <c r="F230" s="164">
        <v>6944</v>
      </c>
      <c r="G230" s="164">
        <v>5163</v>
      </c>
      <c r="H230" s="164"/>
      <c r="M230" s="162"/>
      <c r="N230" s="162"/>
      <c r="O230" s="162"/>
      <c r="P230" s="162"/>
      <c r="Q230" s="162"/>
    </row>
    <row r="231" spans="1:17" x14ac:dyDescent="0.25">
      <c r="A231" s="190">
        <v>37200</v>
      </c>
      <c r="B231" s="188" t="s">
        <v>422</v>
      </c>
      <c r="C231" s="164">
        <v>-7871</v>
      </c>
      <c r="D231" s="164">
        <v>-5321</v>
      </c>
      <c r="E231" s="164">
        <v>2991</v>
      </c>
      <c r="F231" s="164">
        <v>2043</v>
      </c>
      <c r="G231" s="164">
        <v>1461</v>
      </c>
      <c r="H231" s="164"/>
      <c r="M231" s="162"/>
      <c r="N231" s="162"/>
      <c r="O231" s="162"/>
      <c r="P231" s="162"/>
      <c r="Q231" s="162"/>
    </row>
    <row r="232" spans="1:17" x14ac:dyDescent="0.25">
      <c r="A232" s="190">
        <v>37300</v>
      </c>
      <c r="B232" s="188" t="s">
        <v>423</v>
      </c>
      <c r="C232" s="164">
        <v>-20322</v>
      </c>
      <c r="D232" s="164">
        <v>-14023</v>
      </c>
      <c r="E232" s="164">
        <v>7383</v>
      </c>
      <c r="F232" s="164">
        <v>4609</v>
      </c>
      <c r="G232" s="164">
        <v>2578</v>
      </c>
      <c r="H232" s="164"/>
      <c r="M232" s="162"/>
      <c r="N232" s="162"/>
      <c r="O232" s="162"/>
      <c r="P232" s="162"/>
      <c r="Q232" s="162"/>
    </row>
    <row r="233" spans="1:17" x14ac:dyDescent="0.25">
      <c r="A233" s="190">
        <v>37301</v>
      </c>
      <c r="B233" s="188" t="s">
        <v>424</v>
      </c>
      <c r="C233" s="164">
        <v>-1917</v>
      </c>
      <c r="D233" s="164">
        <v>-1461</v>
      </c>
      <c r="E233" s="164">
        <v>845</v>
      </c>
      <c r="F233" s="164">
        <v>438</v>
      </c>
      <c r="G233" s="164">
        <v>268</v>
      </c>
      <c r="H233" s="164"/>
      <c r="M233" s="162"/>
      <c r="N233" s="162"/>
      <c r="O233" s="162"/>
      <c r="P233" s="162"/>
      <c r="Q233" s="162"/>
    </row>
    <row r="234" spans="1:17" x14ac:dyDescent="0.25">
      <c r="A234" s="190">
        <v>37305</v>
      </c>
      <c r="B234" s="188" t="s">
        <v>96</v>
      </c>
      <c r="C234" s="164">
        <v>-3165</v>
      </c>
      <c r="D234" s="164">
        <v>-1839</v>
      </c>
      <c r="E234" s="164">
        <v>2511</v>
      </c>
      <c r="F234" s="164">
        <v>1547</v>
      </c>
      <c r="G234" s="164">
        <v>577</v>
      </c>
      <c r="H234" s="164"/>
      <c r="M234" s="162"/>
      <c r="N234" s="162"/>
      <c r="O234" s="162"/>
      <c r="P234" s="162"/>
      <c r="Q234" s="162"/>
    </row>
    <row r="235" spans="1:17" x14ac:dyDescent="0.25">
      <c r="A235" s="190">
        <v>37400</v>
      </c>
      <c r="B235" s="188" t="s">
        <v>425</v>
      </c>
      <c r="C235" s="164">
        <v>-120113</v>
      </c>
      <c r="D235" s="164">
        <v>-83875</v>
      </c>
      <c r="E235" s="164">
        <v>26005</v>
      </c>
      <c r="F235" s="164">
        <v>18114</v>
      </c>
      <c r="G235" s="164">
        <v>12456</v>
      </c>
      <c r="H235" s="164"/>
      <c r="M235" s="162"/>
      <c r="N235" s="162"/>
      <c r="O235" s="162"/>
      <c r="P235" s="162"/>
      <c r="Q235" s="162"/>
    </row>
    <row r="236" spans="1:17" x14ac:dyDescent="0.25">
      <c r="A236" s="190">
        <v>37405</v>
      </c>
      <c r="B236" s="188" t="s">
        <v>97</v>
      </c>
      <c r="C236" s="164">
        <v>-12106</v>
      </c>
      <c r="D236" s="164">
        <v>-7630</v>
      </c>
      <c r="E236" s="164">
        <v>9594</v>
      </c>
      <c r="F236" s="164">
        <v>4071</v>
      </c>
      <c r="G236" s="164">
        <v>1950</v>
      </c>
      <c r="H236" s="164"/>
      <c r="M236" s="162"/>
      <c r="N236" s="162"/>
      <c r="O236" s="162"/>
      <c r="P236" s="162"/>
      <c r="Q236" s="162"/>
    </row>
    <row r="237" spans="1:17" x14ac:dyDescent="0.25">
      <c r="A237" s="190">
        <v>37500</v>
      </c>
      <c r="B237" s="188" t="s">
        <v>426</v>
      </c>
      <c r="C237" s="164">
        <v>-10130</v>
      </c>
      <c r="D237" s="164">
        <v>-6869</v>
      </c>
      <c r="E237" s="164">
        <v>4542</v>
      </c>
      <c r="F237" s="164">
        <v>2490</v>
      </c>
      <c r="G237" s="164">
        <v>1540</v>
      </c>
      <c r="H237" s="164"/>
      <c r="M237" s="162"/>
      <c r="N237" s="162"/>
      <c r="O237" s="162"/>
      <c r="P237" s="162"/>
      <c r="Q237" s="162"/>
    </row>
    <row r="238" spans="1:17" x14ac:dyDescent="0.25">
      <c r="A238" s="190">
        <v>37600</v>
      </c>
      <c r="B238" s="188" t="s">
        <v>427</v>
      </c>
      <c r="C238" s="164">
        <v>-61182</v>
      </c>
      <c r="D238" s="164">
        <v>-40299</v>
      </c>
      <c r="E238" s="164">
        <v>25925</v>
      </c>
      <c r="F238" s="164">
        <v>13575</v>
      </c>
      <c r="G238" s="164">
        <v>8358</v>
      </c>
      <c r="H238" s="164"/>
      <c r="M238" s="162"/>
      <c r="N238" s="162"/>
      <c r="O238" s="162"/>
      <c r="P238" s="162"/>
      <c r="Q238" s="162"/>
    </row>
    <row r="239" spans="1:17" x14ac:dyDescent="0.25">
      <c r="A239" s="190">
        <v>37601</v>
      </c>
      <c r="B239" s="188" t="s">
        <v>428</v>
      </c>
      <c r="C239" s="164">
        <v>-11405</v>
      </c>
      <c r="D239" s="164">
        <v>-9050</v>
      </c>
      <c r="E239" s="164">
        <v>-1574</v>
      </c>
      <c r="F239" s="164">
        <v>382</v>
      </c>
      <c r="G239" s="164">
        <v>424</v>
      </c>
      <c r="H239" s="164"/>
      <c r="M239" s="162"/>
      <c r="N239" s="162"/>
      <c r="O239" s="162"/>
      <c r="P239" s="162"/>
      <c r="Q239" s="162"/>
    </row>
    <row r="240" spans="1:17" x14ac:dyDescent="0.25">
      <c r="A240" s="190">
        <v>37605</v>
      </c>
      <c r="B240" s="188" t="s">
        <v>98</v>
      </c>
      <c r="C240" s="164">
        <v>-5633</v>
      </c>
      <c r="D240" s="164">
        <v>-3655</v>
      </c>
      <c r="E240" s="164">
        <v>3542</v>
      </c>
      <c r="F240" s="164">
        <v>1458</v>
      </c>
      <c r="G240" s="164">
        <v>917</v>
      </c>
      <c r="H240" s="164"/>
      <c r="M240" s="162"/>
      <c r="N240" s="162"/>
      <c r="O240" s="162"/>
      <c r="P240" s="162"/>
      <c r="Q240" s="162"/>
    </row>
    <row r="241" spans="1:17" x14ac:dyDescent="0.25">
      <c r="A241" s="190">
        <v>37610</v>
      </c>
      <c r="B241" s="188" t="s">
        <v>429</v>
      </c>
      <c r="C241" s="164">
        <v>-19163</v>
      </c>
      <c r="D241" s="164">
        <v>-13258</v>
      </c>
      <c r="E241" s="164">
        <v>6558</v>
      </c>
      <c r="F241" s="164">
        <v>3805</v>
      </c>
      <c r="G241" s="164">
        <v>2841</v>
      </c>
      <c r="H241" s="164"/>
      <c r="M241" s="162"/>
      <c r="N241" s="162"/>
      <c r="O241" s="162"/>
      <c r="P241" s="162"/>
      <c r="Q241" s="162"/>
    </row>
    <row r="242" spans="1:17" x14ac:dyDescent="0.25">
      <c r="A242" s="190">
        <v>37700</v>
      </c>
      <c r="B242" s="188" t="s">
        <v>430</v>
      </c>
      <c r="C242" s="164">
        <v>-28051</v>
      </c>
      <c r="D242" s="164">
        <v>-17690</v>
      </c>
      <c r="E242" s="164">
        <v>11796</v>
      </c>
      <c r="F242" s="164">
        <v>6981</v>
      </c>
      <c r="G242" s="164">
        <v>3902</v>
      </c>
      <c r="H242" s="164"/>
      <c r="M242" s="162"/>
      <c r="N242" s="162"/>
      <c r="O242" s="162"/>
      <c r="P242" s="162"/>
      <c r="Q242" s="162"/>
    </row>
    <row r="243" spans="1:17" x14ac:dyDescent="0.25">
      <c r="A243" s="190">
        <v>37705</v>
      </c>
      <c r="B243" s="188" t="s">
        <v>99</v>
      </c>
      <c r="C243" s="164">
        <v>-5817</v>
      </c>
      <c r="D243" s="164">
        <v>-3206</v>
      </c>
      <c r="E243" s="164">
        <v>4461</v>
      </c>
      <c r="F243" s="164">
        <v>1771</v>
      </c>
      <c r="G243" s="164">
        <v>985</v>
      </c>
      <c r="H243" s="164"/>
      <c r="M243" s="162"/>
      <c r="N243" s="162"/>
      <c r="O243" s="162"/>
      <c r="P243" s="162"/>
      <c r="Q243" s="162"/>
    </row>
    <row r="244" spans="1:17" x14ac:dyDescent="0.25">
      <c r="A244" s="190">
        <v>37800</v>
      </c>
      <c r="B244" s="188" t="s">
        <v>431</v>
      </c>
      <c r="C244" s="164">
        <v>-85032</v>
      </c>
      <c r="D244" s="164">
        <v>-53463</v>
      </c>
      <c r="E244" s="164">
        <v>36786</v>
      </c>
      <c r="F244" s="164">
        <v>25085</v>
      </c>
      <c r="G244" s="164">
        <v>12888</v>
      </c>
      <c r="H244" s="164"/>
      <c r="M244" s="162"/>
      <c r="N244" s="162"/>
      <c r="O244" s="162"/>
      <c r="P244" s="162"/>
      <c r="Q244" s="162"/>
    </row>
    <row r="245" spans="1:17" x14ac:dyDescent="0.25">
      <c r="A245" s="190">
        <v>37801</v>
      </c>
      <c r="B245" s="188" t="s">
        <v>432</v>
      </c>
      <c r="C245" s="164">
        <v>-996</v>
      </c>
      <c r="D245" s="164">
        <v>-791</v>
      </c>
      <c r="E245" s="164">
        <v>91</v>
      </c>
      <c r="F245" s="164">
        <v>17</v>
      </c>
      <c r="G245" s="164">
        <v>85</v>
      </c>
      <c r="H245" s="164"/>
      <c r="M245" s="162"/>
      <c r="N245" s="162"/>
      <c r="O245" s="162"/>
      <c r="P245" s="162"/>
      <c r="Q245" s="162"/>
    </row>
    <row r="246" spans="1:17" x14ac:dyDescent="0.25">
      <c r="A246" s="190">
        <v>37805</v>
      </c>
      <c r="B246" s="188" t="s">
        <v>100</v>
      </c>
      <c r="C246" s="164">
        <v>-5948</v>
      </c>
      <c r="D246" s="164">
        <v>-4014</v>
      </c>
      <c r="E246" s="164">
        <v>2731</v>
      </c>
      <c r="F246" s="164">
        <v>1110</v>
      </c>
      <c r="G246" s="164">
        <v>682</v>
      </c>
      <c r="H246" s="164"/>
      <c r="M246" s="162"/>
      <c r="N246" s="162"/>
      <c r="O246" s="162"/>
      <c r="P246" s="162"/>
      <c r="Q246" s="162"/>
    </row>
    <row r="247" spans="1:17" x14ac:dyDescent="0.25">
      <c r="A247" s="190">
        <v>37900</v>
      </c>
      <c r="B247" s="188" t="s">
        <v>433</v>
      </c>
      <c r="C247" s="164">
        <v>-41165</v>
      </c>
      <c r="D247" s="164">
        <v>-28021</v>
      </c>
      <c r="E247" s="164">
        <v>19468</v>
      </c>
      <c r="F247" s="164">
        <v>7122</v>
      </c>
      <c r="G247" s="164">
        <v>4587</v>
      </c>
      <c r="H247" s="164"/>
      <c r="M247" s="162"/>
      <c r="N247" s="162"/>
      <c r="O247" s="162"/>
      <c r="P247" s="162"/>
      <c r="Q247" s="162"/>
    </row>
    <row r="248" spans="1:17" x14ac:dyDescent="0.25">
      <c r="A248" s="190">
        <v>37901</v>
      </c>
      <c r="B248" s="188" t="s">
        <v>434</v>
      </c>
      <c r="C248" s="164">
        <v>-2971</v>
      </c>
      <c r="D248" s="164">
        <v>-2014</v>
      </c>
      <c r="E248" s="164">
        <v>179</v>
      </c>
      <c r="F248" s="164">
        <v>151</v>
      </c>
      <c r="G248" s="164">
        <v>179</v>
      </c>
      <c r="H248" s="164"/>
      <c r="M248" s="162"/>
      <c r="N248" s="162"/>
      <c r="O248" s="162"/>
      <c r="P248" s="162"/>
      <c r="Q248" s="162"/>
    </row>
    <row r="249" spans="1:17" x14ac:dyDescent="0.25">
      <c r="A249" s="190">
        <v>37905</v>
      </c>
      <c r="B249" s="188" t="s">
        <v>101</v>
      </c>
      <c r="C249" s="164">
        <v>-3435</v>
      </c>
      <c r="D249" s="164">
        <v>-2356</v>
      </c>
      <c r="E249" s="164">
        <v>2364</v>
      </c>
      <c r="F249" s="164">
        <v>1034</v>
      </c>
      <c r="G249" s="164">
        <v>459</v>
      </c>
      <c r="H249" s="164"/>
      <c r="M249" s="162"/>
      <c r="N249" s="162"/>
      <c r="O249" s="162"/>
      <c r="P249" s="162"/>
      <c r="Q249" s="162"/>
    </row>
    <row r="250" spans="1:17" x14ac:dyDescent="0.25">
      <c r="A250" s="190">
        <v>38000</v>
      </c>
      <c r="B250" s="188" t="s">
        <v>435</v>
      </c>
      <c r="C250" s="164">
        <v>-67155</v>
      </c>
      <c r="D250" s="164">
        <v>-50980</v>
      </c>
      <c r="E250" s="164">
        <v>26810</v>
      </c>
      <c r="F250" s="164">
        <v>14350</v>
      </c>
      <c r="G250" s="164">
        <v>9029</v>
      </c>
      <c r="H250" s="164"/>
      <c r="M250" s="162"/>
      <c r="N250" s="162"/>
      <c r="O250" s="162"/>
      <c r="P250" s="162"/>
      <c r="Q250" s="162"/>
    </row>
    <row r="251" spans="1:17" x14ac:dyDescent="0.25">
      <c r="A251" s="190">
        <v>38005</v>
      </c>
      <c r="B251" s="188" t="s">
        <v>102</v>
      </c>
      <c r="C251" s="164">
        <v>-16169</v>
      </c>
      <c r="D251" s="164">
        <v>-11497</v>
      </c>
      <c r="E251" s="164">
        <v>5279</v>
      </c>
      <c r="F251" s="164">
        <v>2496</v>
      </c>
      <c r="G251" s="164">
        <v>1583</v>
      </c>
      <c r="H251" s="164"/>
      <c r="M251" s="162"/>
      <c r="N251" s="162"/>
      <c r="O251" s="162"/>
      <c r="P251" s="162"/>
      <c r="Q251" s="162"/>
    </row>
    <row r="252" spans="1:17" x14ac:dyDescent="0.25">
      <c r="A252" s="190">
        <v>38100</v>
      </c>
      <c r="B252" s="188" t="s">
        <v>436</v>
      </c>
      <c r="C252" s="164">
        <v>-32684</v>
      </c>
      <c r="D252" s="164">
        <v>-20661</v>
      </c>
      <c r="E252" s="164">
        <v>12586</v>
      </c>
      <c r="F252" s="164">
        <v>8334</v>
      </c>
      <c r="G252" s="164">
        <v>5111</v>
      </c>
      <c r="H252" s="164"/>
      <c r="M252" s="162"/>
      <c r="N252" s="162"/>
      <c r="O252" s="162"/>
      <c r="P252" s="162"/>
      <c r="Q252" s="162"/>
    </row>
    <row r="253" spans="1:17" x14ac:dyDescent="0.25">
      <c r="A253" s="190">
        <v>38105</v>
      </c>
      <c r="B253" s="188" t="s">
        <v>103</v>
      </c>
      <c r="C253" s="164">
        <v>-4572</v>
      </c>
      <c r="D253" s="164">
        <v>-2749</v>
      </c>
      <c r="E253" s="164">
        <v>3008</v>
      </c>
      <c r="F253" s="164">
        <v>1507</v>
      </c>
      <c r="G253" s="164">
        <v>783</v>
      </c>
      <c r="H253" s="164"/>
      <c r="M253" s="162"/>
      <c r="N253" s="162"/>
      <c r="O253" s="162"/>
      <c r="P253" s="162"/>
      <c r="Q253" s="162"/>
    </row>
    <row r="254" spans="1:17" x14ac:dyDescent="0.25">
      <c r="A254" s="190">
        <v>38200</v>
      </c>
      <c r="B254" s="188" t="s">
        <v>437</v>
      </c>
      <c r="C254" s="164">
        <v>-27438</v>
      </c>
      <c r="D254" s="164">
        <v>-19205</v>
      </c>
      <c r="E254" s="164">
        <v>12404</v>
      </c>
      <c r="F254" s="164">
        <v>7734</v>
      </c>
      <c r="G254" s="164">
        <v>4782</v>
      </c>
      <c r="H254" s="164"/>
      <c r="M254" s="162"/>
      <c r="N254" s="162"/>
      <c r="O254" s="162"/>
      <c r="P254" s="162"/>
      <c r="Q254" s="162"/>
    </row>
    <row r="255" spans="1:17" x14ac:dyDescent="0.25">
      <c r="A255" s="190">
        <v>38205</v>
      </c>
      <c r="B255" s="188" t="s">
        <v>104</v>
      </c>
      <c r="C255" s="164">
        <v>-4609</v>
      </c>
      <c r="D255" s="164">
        <v>-2790</v>
      </c>
      <c r="E255" s="164">
        <v>2041</v>
      </c>
      <c r="F255" s="164">
        <v>874</v>
      </c>
      <c r="G255" s="164">
        <v>655</v>
      </c>
      <c r="H255" s="164"/>
      <c r="M255" s="162"/>
      <c r="N255" s="162"/>
      <c r="O255" s="162"/>
      <c r="P255" s="162"/>
      <c r="Q255" s="162"/>
    </row>
    <row r="256" spans="1:17" x14ac:dyDescent="0.25">
      <c r="A256" s="190">
        <v>38210</v>
      </c>
      <c r="B256" s="188" t="s">
        <v>438</v>
      </c>
      <c r="C256" s="164">
        <v>-11074</v>
      </c>
      <c r="D256" s="164">
        <v>-7673</v>
      </c>
      <c r="E256" s="164">
        <v>4804</v>
      </c>
      <c r="F256" s="164">
        <v>3027</v>
      </c>
      <c r="G256" s="164">
        <v>1572</v>
      </c>
      <c r="H256" s="164"/>
      <c r="M256" s="162"/>
      <c r="N256" s="162"/>
      <c r="O256" s="162"/>
      <c r="P256" s="162"/>
      <c r="Q256" s="162"/>
    </row>
    <row r="257" spans="1:17" x14ac:dyDescent="0.25">
      <c r="A257" s="190">
        <v>38300</v>
      </c>
      <c r="B257" s="188" t="s">
        <v>439</v>
      </c>
      <c r="C257" s="164">
        <v>-23261</v>
      </c>
      <c r="D257" s="164">
        <v>-16533</v>
      </c>
      <c r="E257" s="164">
        <v>9042</v>
      </c>
      <c r="F257" s="164">
        <v>5308</v>
      </c>
      <c r="G257" s="164">
        <v>3609</v>
      </c>
      <c r="H257" s="164"/>
      <c r="M257" s="162"/>
      <c r="N257" s="162"/>
      <c r="O257" s="162"/>
      <c r="P257" s="162"/>
      <c r="Q257" s="162"/>
    </row>
    <row r="258" spans="1:17" x14ac:dyDescent="0.25">
      <c r="A258" s="190">
        <v>38400</v>
      </c>
      <c r="B258" s="188" t="s">
        <v>440</v>
      </c>
      <c r="C258" s="164">
        <v>-30302</v>
      </c>
      <c r="D258" s="164">
        <v>-19503</v>
      </c>
      <c r="E258" s="164">
        <v>13183</v>
      </c>
      <c r="F258" s="164">
        <v>5705</v>
      </c>
      <c r="G258" s="164">
        <v>4660</v>
      </c>
      <c r="H258" s="164"/>
      <c r="M258" s="162"/>
      <c r="N258" s="162"/>
      <c r="O258" s="162"/>
      <c r="P258" s="162"/>
      <c r="Q258" s="162"/>
    </row>
    <row r="259" spans="1:17" x14ac:dyDescent="0.25">
      <c r="A259" s="190">
        <v>38402</v>
      </c>
      <c r="B259" s="188" t="s">
        <v>441</v>
      </c>
      <c r="C259" s="164">
        <v>-2668</v>
      </c>
      <c r="D259" s="164">
        <v>-1891</v>
      </c>
      <c r="E259" s="164">
        <v>554</v>
      </c>
      <c r="F259" s="164">
        <v>474</v>
      </c>
      <c r="G259" s="164">
        <v>293</v>
      </c>
      <c r="H259" s="164"/>
      <c r="M259" s="162"/>
      <c r="N259" s="162"/>
      <c r="O259" s="162"/>
      <c r="P259" s="162"/>
      <c r="Q259" s="162"/>
    </row>
    <row r="260" spans="1:17" x14ac:dyDescent="0.25">
      <c r="A260" s="190">
        <v>38405</v>
      </c>
      <c r="B260" s="188" t="s">
        <v>105</v>
      </c>
      <c r="C260" s="164">
        <v>-6209</v>
      </c>
      <c r="D260" s="164">
        <v>-3803</v>
      </c>
      <c r="E260" s="164">
        <v>3805</v>
      </c>
      <c r="F260" s="164">
        <v>1550</v>
      </c>
      <c r="G260" s="164">
        <v>843</v>
      </c>
      <c r="H260" s="164"/>
      <c r="M260" s="162"/>
      <c r="N260" s="162"/>
      <c r="O260" s="162"/>
      <c r="P260" s="162"/>
      <c r="Q260" s="162"/>
    </row>
    <row r="261" spans="1:17" x14ac:dyDescent="0.25">
      <c r="A261" s="190">
        <v>38500</v>
      </c>
      <c r="B261" s="188" t="s">
        <v>442</v>
      </c>
      <c r="C261" s="164">
        <v>-20265</v>
      </c>
      <c r="D261" s="164">
        <v>-13940</v>
      </c>
      <c r="E261" s="164">
        <v>9707</v>
      </c>
      <c r="F261" s="164">
        <v>4776</v>
      </c>
      <c r="G261" s="164">
        <v>3192</v>
      </c>
      <c r="H261" s="164"/>
      <c r="M261" s="162"/>
      <c r="N261" s="162"/>
      <c r="O261" s="162"/>
      <c r="P261" s="162"/>
      <c r="Q261" s="162"/>
    </row>
    <row r="262" spans="1:17" x14ac:dyDescent="0.25">
      <c r="A262" s="190">
        <v>38600</v>
      </c>
      <c r="B262" s="188" t="s">
        <v>443</v>
      </c>
      <c r="C262" s="164">
        <v>-25618</v>
      </c>
      <c r="D262" s="164">
        <v>-17771</v>
      </c>
      <c r="E262" s="164">
        <v>11683</v>
      </c>
      <c r="F262" s="164">
        <v>7643</v>
      </c>
      <c r="G262" s="164">
        <v>4513</v>
      </c>
      <c r="H262" s="164"/>
      <c r="M262" s="162"/>
      <c r="N262" s="162"/>
      <c r="O262" s="162"/>
      <c r="P262" s="162"/>
      <c r="Q262" s="162"/>
    </row>
    <row r="263" spans="1:17" x14ac:dyDescent="0.25">
      <c r="A263" s="190">
        <v>38601</v>
      </c>
      <c r="B263" s="188" t="s">
        <v>444</v>
      </c>
      <c r="C263" s="164">
        <v>309</v>
      </c>
      <c r="D263" s="164">
        <v>309</v>
      </c>
      <c r="E263" s="164">
        <v>308</v>
      </c>
      <c r="F263" s="164">
        <v>7</v>
      </c>
      <c r="G263" s="164">
        <v>-7</v>
      </c>
      <c r="H263" s="164"/>
      <c r="M263" s="162"/>
      <c r="N263" s="162"/>
      <c r="O263" s="162"/>
      <c r="P263" s="162"/>
      <c r="Q263" s="162"/>
    </row>
    <row r="264" spans="1:17" x14ac:dyDescent="0.25">
      <c r="A264" s="190">
        <v>38602</v>
      </c>
      <c r="B264" s="188" t="s">
        <v>445</v>
      </c>
      <c r="C264" s="164">
        <v>-1994</v>
      </c>
      <c r="D264" s="164">
        <v>-1445</v>
      </c>
      <c r="E264" s="164">
        <v>954</v>
      </c>
      <c r="F264" s="164">
        <v>349</v>
      </c>
      <c r="G264" s="164">
        <v>215</v>
      </c>
      <c r="H264" s="164"/>
      <c r="M264" s="162"/>
      <c r="N264" s="162"/>
      <c r="O264" s="162"/>
      <c r="P264" s="162"/>
      <c r="Q264" s="162"/>
    </row>
    <row r="265" spans="1:17" x14ac:dyDescent="0.25">
      <c r="A265" s="190">
        <v>38605</v>
      </c>
      <c r="B265" s="188" t="s">
        <v>106</v>
      </c>
      <c r="C265" s="164">
        <v>-7319</v>
      </c>
      <c r="D265" s="164">
        <v>-5234</v>
      </c>
      <c r="E265" s="164">
        <v>3577</v>
      </c>
      <c r="F265" s="164">
        <v>1629</v>
      </c>
      <c r="G265" s="164">
        <v>652</v>
      </c>
      <c r="H265" s="164"/>
      <c r="M265" s="162"/>
      <c r="N265" s="162"/>
      <c r="O265" s="162"/>
      <c r="P265" s="162"/>
      <c r="Q265" s="162"/>
    </row>
    <row r="266" spans="1:17" x14ac:dyDescent="0.25">
      <c r="A266" s="190">
        <v>38610</v>
      </c>
      <c r="B266" s="188" t="s">
        <v>446</v>
      </c>
      <c r="C266" s="164">
        <v>-9314</v>
      </c>
      <c r="D266" s="164">
        <v>-6170</v>
      </c>
      <c r="E266" s="164">
        <v>1973</v>
      </c>
      <c r="F266" s="164">
        <v>1061</v>
      </c>
      <c r="G266" s="164">
        <v>887</v>
      </c>
      <c r="H266" s="164"/>
      <c r="M266" s="162"/>
      <c r="N266" s="162"/>
      <c r="O266" s="162"/>
      <c r="P266" s="162"/>
      <c r="Q266" s="162"/>
    </row>
    <row r="267" spans="1:17" x14ac:dyDescent="0.25">
      <c r="A267" s="190">
        <v>38620</v>
      </c>
      <c r="B267" s="188" t="s">
        <v>447</v>
      </c>
      <c r="C267" s="164">
        <v>-4605</v>
      </c>
      <c r="D267" s="164">
        <v>-3111</v>
      </c>
      <c r="E267" s="164">
        <v>2034</v>
      </c>
      <c r="F267" s="164">
        <v>976</v>
      </c>
      <c r="G267" s="164">
        <v>703</v>
      </c>
      <c r="H267" s="164"/>
      <c r="M267" s="162"/>
      <c r="N267" s="162"/>
      <c r="O267" s="162"/>
      <c r="P267" s="162"/>
      <c r="Q267" s="162"/>
    </row>
    <row r="268" spans="1:17" x14ac:dyDescent="0.25">
      <c r="A268" s="190">
        <v>38700</v>
      </c>
      <c r="B268" s="188" t="s">
        <v>448</v>
      </c>
      <c r="C268" s="164">
        <v>-10468</v>
      </c>
      <c r="D268" s="164">
        <v>-6718</v>
      </c>
      <c r="E268" s="164">
        <v>3224</v>
      </c>
      <c r="F268" s="164">
        <v>1906</v>
      </c>
      <c r="G268" s="164">
        <v>1207</v>
      </c>
      <c r="H268" s="164"/>
      <c r="M268" s="162"/>
      <c r="N268" s="162"/>
      <c r="O268" s="162"/>
      <c r="P268" s="162"/>
      <c r="Q268" s="162"/>
    </row>
    <row r="269" spans="1:17" x14ac:dyDescent="0.25">
      <c r="A269" s="190">
        <v>38701</v>
      </c>
      <c r="B269" s="188" t="s">
        <v>498</v>
      </c>
      <c r="C269" s="164">
        <v>-1304</v>
      </c>
      <c r="D269" s="164">
        <v>-809</v>
      </c>
      <c r="E269" s="164">
        <v>272</v>
      </c>
      <c r="F269" s="164">
        <v>33</v>
      </c>
      <c r="G269" s="164">
        <v>16</v>
      </c>
      <c r="H269" s="164"/>
      <c r="M269" s="162"/>
      <c r="N269" s="162"/>
      <c r="O269" s="162"/>
      <c r="P269" s="162"/>
      <c r="Q269" s="162"/>
    </row>
    <row r="270" spans="1:17" x14ac:dyDescent="0.25">
      <c r="A270" s="190">
        <v>38800</v>
      </c>
      <c r="B270" s="188" t="s">
        <v>450</v>
      </c>
      <c r="C270" s="164">
        <v>-17732</v>
      </c>
      <c r="D270" s="164">
        <v>-12414</v>
      </c>
      <c r="E270" s="164">
        <v>5287</v>
      </c>
      <c r="F270" s="164">
        <v>3106</v>
      </c>
      <c r="G270" s="164">
        <v>2070</v>
      </c>
      <c r="H270" s="164"/>
      <c r="M270" s="162"/>
      <c r="N270" s="162"/>
      <c r="O270" s="162"/>
      <c r="P270" s="162"/>
      <c r="Q270" s="162"/>
    </row>
    <row r="271" spans="1:17" x14ac:dyDescent="0.25">
      <c r="A271" s="190">
        <v>38801</v>
      </c>
      <c r="B271" s="188" t="s">
        <v>451</v>
      </c>
      <c r="C271" s="164">
        <v>-2314</v>
      </c>
      <c r="D271" s="164">
        <v>-1912</v>
      </c>
      <c r="E271" s="164">
        <v>160</v>
      </c>
      <c r="F271" s="164">
        <v>12</v>
      </c>
      <c r="G271" s="164">
        <v>235</v>
      </c>
      <c r="H271" s="164"/>
      <c r="M271" s="162"/>
      <c r="N271" s="162"/>
      <c r="O271" s="162"/>
      <c r="P271" s="162"/>
      <c r="Q271" s="162"/>
    </row>
    <row r="272" spans="1:17" x14ac:dyDescent="0.25">
      <c r="A272" s="190">
        <v>38900</v>
      </c>
      <c r="B272" s="188" t="s">
        <v>452</v>
      </c>
      <c r="C272" s="164">
        <v>-2968</v>
      </c>
      <c r="D272" s="164">
        <v>-2169</v>
      </c>
      <c r="E272" s="164">
        <v>1021</v>
      </c>
      <c r="F272" s="164">
        <v>511</v>
      </c>
      <c r="G272" s="164">
        <v>339</v>
      </c>
      <c r="H272" s="164"/>
      <c r="M272" s="162"/>
      <c r="N272" s="162"/>
      <c r="O272" s="162"/>
      <c r="P272" s="162"/>
      <c r="Q272" s="162"/>
    </row>
    <row r="273" spans="1:17" x14ac:dyDescent="0.25">
      <c r="A273" s="190">
        <v>39000</v>
      </c>
      <c r="B273" s="188" t="s">
        <v>453</v>
      </c>
      <c r="C273" s="164">
        <v>-168032</v>
      </c>
      <c r="D273" s="164">
        <v>-113460</v>
      </c>
      <c r="E273" s="164">
        <v>54701</v>
      </c>
      <c r="F273" s="164">
        <v>34365</v>
      </c>
      <c r="G273" s="164">
        <v>25371</v>
      </c>
      <c r="H273" s="164"/>
      <c r="M273" s="162"/>
      <c r="N273" s="162"/>
      <c r="O273" s="162"/>
      <c r="P273" s="162"/>
      <c r="Q273" s="162"/>
    </row>
    <row r="274" spans="1:17" x14ac:dyDescent="0.25">
      <c r="A274" s="190">
        <v>39100</v>
      </c>
      <c r="B274" s="188" t="s">
        <v>454</v>
      </c>
      <c r="C274" s="164">
        <v>-14612</v>
      </c>
      <c r="D274" s="164">
        <v>-8168</v>
      </c>
      <c r="E274" s="164">
        <v>12808</v>
      </c>
      <c r="F274" s="164">
        <v>6828</v>
      </c>
      <c r="G274" s="164">
        <v>3710</v>
      </c>
      <c r="H274" s="164"/>
      <c r="M274" s="162"/>
      <c r="N274" s="162"/>
      <c r="O274" s="162"/>
      <c r="P274" s="162"/>
      <c r="Q274" s="162"/>
    </row>
    <row r="275" spans="1:17" x14ac:dyDescent="0.25">
      <c r="A275" s="190">
        <v>39101</v>
      </c>
      <c r="B275" s="188" t="s">
        <v>455</v>
      </c>
      <c r="C275" s="164">
        <v>-3328</v>
      </c>
      <c r="D275" s="164">
        <v>-2438</v>
      </c>
      <c r="E275" s="164">
        <v>565</v>
      </c>
      <c r="F275" s="164">
        <v>203</v>
      </c>
      <c r="G275" s="164">
        <v>200</v>
      </c>
      <c r="H275" s="164"/>
      <c r="M275" s="162"/>
      <c r="N275" s="162"/>
      <c r="O275" s="162"/>
      <c r="P275" s="162"/>
      <c r="Q275" s="162"/>
    </row>
    <row r="276" spans="1:17" x14ac:dyDescent="0.25">
      <c r="A276" s="190">
        <v>39105</v>
      </c>
      <c r="B276" s="188" t="s">
        <v>107</v>
      </c>
      <c r="C276" s="164">
        <v>-5583</v>
      </c>
      <c r="D276" s="164">
        <v>-3248</v>
      </c>
      <c r="E276" s="164">
        <v>5340</v>
      </c>
      <c r="F276" s="164">
        <v>1684</v>
      </c>
      <c r="G276" s="164">
        <v>997</v>
      </c>
      <c r="H276" s="164"/>
      <c r="M276" s="162"/>
      <c r="N276" s="162"/>
      <c r="O276" s="162"/>
      <c r="P276" s="162"/>
      <c r="Q276" s="162"/>
    </row>
    <row r="277" spans="1:17" x14ac:dyDescent="0.25">
      <c r="A277" s="190">
        <v>39200</v>
      </c>
      <c r="B277" s="188" t="s">
        <v>456</v>
      </c>
      <c r="C277" s="164">
        <v>-815231</v>
      </c>
      <c r="D277" s="164">
        <v>-555818</v>
      </c>
      <c r="E277" s="164">
        <v>237417</v>
      </c>
      <c r="F277" s="164">
        <v>114811</v>
      </c>
      <c r="G277" s="164">
        <v>73276</v>
      </c>
      <c r="H277" s="164"/>
      <c r="M277" s="162"/>
      <c r="N277" s="162"/>
      <c r="O277" s="162"/>
      <c r="P277" s="162"/>
      <c r="Q277" s="162"/>
    </row>
    <row r="278" spans="1:17" x14ac:dyDescent="0.25">
      <c r="A278" s="190">
        <v>39201</v>
      </c>
      <c r="B278" s="188" t="s">
        <v>457</v>
      </c>
      <c r="C278" s="164">
        <v>-4860</v>
      </c>
      <c r="D278" s="164">
        <v>-3237</v>
      </c>
      <c r="E278" s="164">
        <v>338</v>
      </c>
      <c r="F278" s="164">
        <v>503</v>
      </c>
      <c r="G278" s="164">
        <v>263</v>
      </c>
      <c r="H278" s="164"/>
      <c r="M278" s="162"/>
      <c r="N278" s="162"/>
      <c r="O278" s="162"/>
      <c r="P278" s="162"/>
      <c r="Q278" s="162"/>
    </row>
    <row r="279" spans="1:17" x14ac:dyDescent="0.25">
      <c r="A279" s="190">
        <v>39204</v>
      </c>
      <c r="B279" s="188" t="s">
        <v>458</v>
      </c>
      <c r="C279" s="164">
        <v>-3981</v>
      </c>
      <c r="D279" s="164">
        <v>-3209</v>
      </c>
      <c r="E279" s="164">
        <v>-524</v>
      </c>
      <c r="F279" s="164">
        <v>317</v>
      </c>
      <c r="G279" s="164">
        <v>643</v>
      </c>
      <c r="H279" s="164"/>
      <c r="M279" s="162"/>
      <c r="N279" s="162"/>
      <c r="O279" s="162"/>
      <c r="P279" s="162"/>
      <c r="Q279" s="162"/>
    </row>
    <row r="280" spans="1:17" x14ac:dyDescent="0.25">
      <c r="A280" s="190">
        <v>39205</v>
      </c>
      <c r="B280" s="188" t="s">
        <v>108</v>
      </c>
      <c r="C280" s="164">
        <v>-69145</v>
      </c>
      <c r="D280" s="164">
        <v>-46562</v>
      </c>
      <c r="E280" s="164">
        <v>20378</v>
      </c>
      <c r="F280" s="164">
        <v>10517</v>
      </c>
      <c r="G280" s="164">
        <v>4658</v>
      </c>
      <c r="H280" s="164"/>
      <c r="M280" s="162"/>
      <c r="N280" s="162"/>
      <c r="O280" s="162"/>
      <c r="P280" s="162"/>
      <c r="Q280" s="162"/>
    </row>
    <row r="281" spans="1:17" x14ac:dyDescent="0.25">
      <c r="A281" s="190">
        <v>39208</v>
      </c>
      <c r="B281" s="188" t="s">
        <v>459</v>
      </c>
      <c r="C281" s="164">
        <v>-6356</v>
      </c>
      <c r="D281" s="164">
        <v>-4366</v>
      </c>
      <c r="E281" s="164">
        <v>1025</v>
      </c>
      <c r="F281" s="164">
        <v>638</v>
      </c>
      <c r="G281" s="164">
        <v>605</v>
      </c>
      <c r="H281" s="164"/>
      <c r="M281" s="162"/>
      <c r="N281" s="162"/>
      <c r="O281" s="162"/>
      <c r="P281" s="162"/>
      <c r="Q281" s="162"/>
    </row>
    <row r="282" spans="1:17" x14ac:dyDescent="0.25">
      <c r="A282" s="190">
        <v>39209</v>
      </c>
      <c r="B282" s="188" t="s">
        <v>460</v>
      </c>
      <c r="C282" s="164">
        <v>1551</v>
      </c>
      <c r="D282" s="164">
        <v>1551</v>
      </c>
      <c r="E282" s="164">
        <v>1552</v>
      </c>
      <c r="F282" s="164">
        <v>-114</v>
      </c>
      <c r="G282" s="164">
        <v>-244</v>
      </c>
      <c r="H282" s="164"/>
      <c r="M282" s="162"/>
      <c r="N282" s="162"/>
      <c r="O282" s="162"/>
      <c r="P282" s="162"/>
      <c r="Q282" s="162"/>
    </row>
    <row r="283" spans="1:17" x14ac:dyDescent="0.25">
      <c r="A283" s="190">
        <v>39220</v>
      </c>
      <c r="B283" s="188" t="s">
        <v>461</v>
      </c>
      <c r="C283" s="164">
        <v>-165</v>
      </c>
      <c r="D283" s="164">
        <v>-912</v>
      </c>
      <c r="E283" s="164">
        <v>-906</v>
      </c>
      <c r="F283" s="164">
        <v>-13</v>
      </c>
      <c r="G283" s="164">
        <v>24</v>
      </c>
      <c r="H283" s="164"/>
      <c r="M283" s="162"/>
      <c r="N283" s="162"/>
      <c r="O283" s="162"/>
      <c r="P283" s="162"/>
      <c r="Q283" s="162"/>
    </row>
    <row r="284" spans="1:17" x14ac:dyDescent="0.25">
      <c r="A284" s="190">
        <v>39300</v>
      </c>
      <c r="B284" s="188" t="s">
        <v>462</v>
      </c>
      <c r="C284" s="164">
        <v>-6849</v>
      </c>
      <c r="D284" s="164">
        <v>-3406</v>
      </c>
      <c r="E284" s="164">
        <v>5312</v>
      </c>
      <c r="F284" s="164">
        <v>2917</v>
      </c>
      <c r="G284" s="164">
        <v>1295</v>
      </c>
      <c r="H284" s="164"/>
      <c r="M284" s="162"/>
      <c r="N284" s="162"/>
      <c r="O284" s="162"/>
      <c r="P284" s="162"/>
      <c r="Q284" s="162"/>
    </row>
    <row r="285" spans="1:17" x14ac:dyDescent="0.25">
      <c r="A285" s="190">
        <v>39301</v>
      </c>
      <c r="B285" s="188" t="s">
        <v>463</v>
      </c>
      <c r="C285" s="164">
        <v>-920</v>
      </c>
      <c r="D285" s="164">
        <v>-468</v>
      </c>
      <c r="E285" s="164">
        <v>234</v>
      </c>
      <c r="F285" s="164">
        <v>94</v>
      </c>
      <c r="G285" s="164">
        <v>-14</v>
      </c>
      <c r="H285" s="164"/>
      <c r="M285" s="162"/>
      <c r="N285" s="162"/>
      <c r="O285" s="162"/>
      <c r="P285" s="162"/>
      <c r="Q285" s="162"/>
    </row>
    <row r="286" spans="1:17" x14ac:dyDescent="0.25">
      <c r="A286" s="190">
        <v>39400</v>
      </c>
      <c r="B286" s="188" t="s">
        <v>464</v>
      </c>
      <c r="C286" s="164">
        <v>-2343</v>
      </c>
      <c r="D286" s="164">
        <v>-1139</v>
      </c>
      <c r="E286" s="164">
        <v>3906</v>
      </c>
      <c r="F286" s="164">
        <v>1964</v>
      </c>
      <c r="G286" s="164">
        <v>872</v>
      </c>
      <c r="H286" s="164"/>
      <c r="M286" s="162"/>
      <c r="N286" s="162"/>
      <c r="O286" s="162"/>
      <c r="P286" s="162"/>
      <c r="Q286" s="162"/>
    </row>
    <row r="287" spans="1:17" x14ac:dyDescent="0.25">
      <c r="A287" s="190">
        <v>39401</v>
      </c>
      <c r="B287" s="188" t="s">
        <v>465</v>
      </c>
      <c r="C287" s="164">
        <v>-11212</v>
      </c>
      <c r="D287" s="164">
        <v>-8239</v>
      </c>
      <c r="E287" s="164">
        <v>89</v>
      </c>
      <c r="F287" s="164">
        <v>43</v>
      </c>
      <c r="G287" s="164">
        <v>319</v>
      </c>
      <c r="H287" s="164"/>
      <c r="M287" s="162"/>
      <c r="N287" s="162"/>
      <c r="O287" s="162"/>
      <c r="P287" s="162"/>
      <c r="Q287" s="162"/>
    </row>
    <row r="288" spans="1:17" x14ac:dyDescent="0.25">
      <c r="A288" s="190">
        <v>39500</v>
      </c>
      <c r="B288" s="188" t="s">
        <v>466</v>
      </c>
      <c r="C288" s="164">
        <v>-28922</v>
      </c>
      <c r="D288" s="164">
        <v>-21827</v>
      </c>
      <c r="E288" s="164">
        <v>4655</v>
      </c>
      <c r="F288" s="164">
        <v>4381</v>
      </c>
      <c r="G288" s="164">
        <v>2814</v>
      </c>
      <c r="H288" s="164"/>
      <c r="M288" s="162"/>
      <c r="N288" s="162"/>
      <c r="O288" s="162"/>
      <c r="P288" s="162"/>
      <c r="Q288" s="162"/>
    </row>
    <row r="289" spans="1:17" x14ac:dyDescent="0.25">
      <c r="A289" s="190">
        <v>39501</v>
      </c>
      <c r="B289" s="188" t="s">
        <v>499</v>
      </c>
      <c r="C289" s="164">
        <v>-622</v>
      </c>
      <c r="D289" s="164">
        <v>-430</v>
      </c>
      <c r="E289" s="164">
        <v>170</v>
      </c>
      <c r="F289" s="164">
        <v>53</v>
      </c>
      <c r="G289" s="164">
        <v>76</v>
      </c>
      <c r="H289" s="164"/>
      <c r="M289" s="162"/>
      <c r="N289" s="162"/>
      <c r="O289" s="162"/>
      <c r="P289" s="162"/>
      <c r="Q289" s="162"/>
    </row>
    <row r="290" spans="1:17" x14ac:dyDescent="0.25">
      <c r="A290" s="190">
        <v>39600</v>
      </c>
      <c r="B290" s="188" t="s">
        <v>468</v>
      </c>
      <c r="C290" s="164">
        <v>-51924</v>
      </c>
      <c r="D290" s="164">
        <v>-32368</v>
      </c>
      <c r="E290" s="164">
        <v>30175</v>
      </c>
      <c r="F290" s="164">
        <v>16039</v>
      </c>
      <c r="G290" s="164">
        <v>11665</v>
      </c>
      <c r="H290" s="164"/>
      <c r="M290" s="162"/>
      <c r="N290" s="162"/>
      <c r="O290" s="162"/>
      <c r="P290" s="162"/>
      <c r="Q290" s="162"/>
    </row>
    <row r="291" spans="1:17" x14ac:dyDescent="0.25">
      <c r="A291" s="190">
        <v>39605</v>
      </c>
      <c r="B291" s="188" t="s">
        <v>109</v>
      </c>
      <c r="C291" s="164">
        <v>-6951</v>
      </c>
      <c r="D291" s="164">
        <v>-4931</v>
      </c>
      <c r="E291" s="164">
        <v>3831</v>
      </c>
      <c r="F291" s="164">
        <v>1443</v>
      </c>
      <c r="G291" s="164">
        <v>753</v>
      </c>
      <c r="H291" s="164"/>
      <c r="M291" s="162"/>
      <c r="N291" s="162"/>
      <c r="O291" s="162"/>
      <c r="P291" s="162"/>
      <c r="Q291" s="162"/>
    </row>
    <row r="292" spans="1:17" x14ac:dyDescent="0.25">
      <c r="A292" s="190">
        <v>39700</v>
      </c>
      <c r="B292" s="188" t="s">
        <v>469</v>
      </c>
      <c r="C292" s="164">
        <v>-34151</v>
      </c>
      <c r="D292" s="164">
        <v>-23681</v>
      </c>
      <c r="E292" s="164">
        <v>14535</v>
      </c>
      <c r="F292" s="164">
        <v>7738</v>
      </c>
      <c r="G292" s="164">
        <v>4825</v>
      </c>
      <c r="H292" s="164"/>
      <c r="M292" s="162"/>
      <c r="N292" s="162"/>
      <c r="O292" s="162"/>
      <c r="P292" s="162"/>
      <c r="Q292" s="162"/>
    </row>
    <row r="293" spans="1:17" x14ac:dyDescent="0.25">
      <c r="A293" s="190">
        <v>39703</v>
      </c>
      <c r="B293" s="188" t="s">
        <v>470</v>
      </c>
      <c r="C293" s="164">
        <v>-4200</v>
      </c>
      <c r="D293" s="164">
        <v>-3133</v>
      </c>
      <c r="E293" s="164">
        <v>305</v>
      </c>
      <c r="F293" s="164">
        <v>399</v>
      </c>
      <c r="G293" s="164">
        <v>214</v>
      </c>
      <c r="H293" s="164"/>
      <c r="M293" s="162"/>
      <c r="N293" s="162"/>
      <c r="O293" s="162"/>
      <c r="P293" s="162"/>
      <c r="Q293" s="162"/>
    </row>
    <row r="294" spans="1:17" x14ac:dyDescent="0.25">
      <c r="A294" s="190">
        <v>39705</v>
      </c>
      <c r="B294" s="188" t="s">
        <v>110</v>
      </c>
      <c r="C294" s="164">
        <v>-9428</v>
      </c>
      <c r="D294" s="164">
        <v>-6571</v>
      </c>
      <c r="E294" s="164">
        <v>3674</v>
      </c>
      <c r="F294" s="164">
        <v>2122</v>
      </c>
      <c r="G294" s="164">
        <v>1240</v>
      </c>
      <c r="H294" s="164"/>
      <c r="M294" s="162"/>
      <c r="N294" s="162"/>
      <c r="O294" s="162"/>
      <c r="P294" s="162"/>
      <c r="Q294" s="162"/>
    </row>
    <row r="295" spans="1:17" x14ac:dyDescent="0.25">
      <c r="A295" s="190">
        <v>39800</v>
      </c>
      <c r="B295" s="188" t="s">
        <v>471</v>
      </c>
      <c r="C295" s="164">
        <v>-32144</v>
      </c>
      <c r="D295" s="164">
        <v>-19901</v>
      </c>
      <c r="E295" s="164">
        <v>20568</v>
      </c>
      <c r="F295" s="164">
        <v>9427</v>
      </c>
      <c r="G295" s="164">
        <v>5590</v>
      </c>
      <c r="H295" s="164"/>
      <c r="M295" s="162"/>
      <c r="N295" s="162"/>
      <c r="O295" s="162"/>
      <c r="P295" s="162"/>
      <c r="Q295" s="162"/>
    </row>
    <row r="296" spans="1:17" x14ac:dyDescent="0.25">
      <c r="A296" s="190">
        <v>39805</v>
      </c>
      <c r="B296" s="188" t="s">
        <v>111</v>
      </c>
      <c r="C296" s="164">
        <v>-4102</v>
      </c>
      <c r="D296" s="164">
        <v>-2936</v>
      </c>
      <c r="E296" s="164">
        <v>2203</v>
      </c>
      <c r="F296" s="164">
        <v>1176</v>
      </c>
      <c r="G296" s="164">
        <v>580</v>
      </c>
      <c r="H296" s="164"/>
      <c r="M296" s="162"/>
      <c r="N296" s="162"/>
      <c r="O296" s="162"/>
      <c r="P296" s="162"/>
      <c r="Q296" s="162"/>
    </row>
    <row r="297" spans="1:17" x14ac:dyDescent="0.25">
      <c r="A297" s="190">
        <v>39900</v>
      </c>
      <c r="B297" s="188" t="s">
        <v>472</v>
      </c>
      <c r="C297" s="164">
        <v>-19769</v>
      </c>
      <c r="D297" s="164">
        <v>-13499</v>
      </c>
      <c r="E297" s="164">
        <v>9174</v>
      </c>
      <c r="F297" s="164">
        <v>5698</v>
      </c>
      <c r="G297" s="164">
        <v>3300</v>
      </c>
      <c r="H297" s="164"/>
      <c r="M297" s="162"/>
      <c r="N297" s="162"/>
      <c r="O297" s="162"/>
      <c r="P297" s="162"/>
      <c r="Q297" s="162"/>
    </row>
    <row r="298" spans="1:17" x14ac:dyDescent="0.25">
      <c r="A298" s="190">
        <v>51000</v>
      </c>
      <c r="B298" s="188" t="s">
        <v>473</v>
      </c>
      <c r="C298" s="164">
        <v>-201872</v>
      </c>
      <c r="D298" s="164">
        <v>-131940</v>
      </c>
      <c r="E298" s="164">
        <v>168980</v>
      </c>
      <c r="F298" s="164">
        <v>57589</v>
      </c>
      <c r="G298" s="164">
        <v>59351</v>
      </c>
      <c r="H298" s="164"/>
    </row>
    <row r="299" spans="1:17" ht="14.4" x14ac:dyDescent="0.3">
      <c r="A299" s="150">
        <v>51000.2</v>
      </c>
      <c r="B299" s="151" t="s">
        <v>474</v>
      </c>
      <c r="C299" s="152">
        <v>-83</v>
      </c>
      <c r="D299" s="152">
        <v>-109</v>
      </c>
      <c r="E299" s="152">
        <v>339</v>
      </c>
      <c r="F299" s="152">
        <v>-241</v>
      </c>
      <c r="G299" s="152">
        <v>7</v>
      </c>
    </row>
    <row r="300" spans="1:17" ht="14.4" x14ac:dyDescent="0.3">
      <c r="A300">
        <v>51000.3</v>
      </c>
      <c r="B300" t="s">
        <v>475</v>
      </c>
      <c r="C300" s="237">
        <v>-13226</v>
      </c>
      <c r="D300" s="237">
        <v>-9416</v>
      </c>
      <c r="E300" s="237">
        <v>3579</v>
      </c>
      <c r="F300" s="237">
        <v>2226</v>
      </c>
      <c r="G300" s="237">
        <v>1363</v>
      </c>
      <c r="H300" s="146">
        <f t="shared" ref="H300" si="0">SUM(H4:H299)</f>
        <v>0</v>
      </c>
    </row>
    <row r="301" spans="1:17" x14ac:dyDescent="0.25">
      <c r="B301" s="188"/>
      <c r="C301" s="10"/>
      <c r="D301" s="10"/>
      <c r="E301" s="10"/>
      <c r="F301" s="10"/>
      <c r="G301" s="10"/>
      <c r="H301" s="10"/>
    </row>
    <row r="302" spans="1:17" x14ac:dyDescent="0.25">
      <c r="B302" s="188" t="s">
        <v>13</v>
      </c>
      <c r="C302" s="162">
        <f>SUM(C4:C301)</f>
        <v>-12878001</v>
      </c>
      <c r="D302" s="162">
        <f t="shared" ref="D302:G302" si="1">SUM(D4:D301)</f>
        <v>-8881001</v>
      </c>
      <c r="E302" s="162">
        <f t="shared" si="1"/>
        <v>4511025</v>
      </c>
      <c r="F302" s="162">
        <f t="shared" si="1"/>
        <v>2227041</v>
      </c>
      <c r="G302" s="162">
        <f t="shared" si="1"/>
        <v>1422999</v>
      </c>
    </row>
  </sheetData>
  <pageMargins left="0.7" right="0.7" top="0.75" bottom="0.75" header="0.3" footer="0.3"/>
  <pageSetup scale="64"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736A28-A1A3-4992-B262-9AD008A6A254}">
  <dimension ref="A1:I84"/>
  <sheetViews>
    <sheetView workbookViewId="0">
      <selection activeCell="H11" sqref="H11"/>
    </sheetView>
  </sheetViews>
  <sheetFormatPr defaultRowHeight="13.2" x14ac:dyDescent="0.25"/>
  <cols>
    <col min="1" max="1" width="12" bestFit="1" customWidth="1"/>
    <col min="2" max="2" width="47.6640625" bestFit="1" customWidth="1"/>
    <col min="3" max="8" width="15.88671875" customWidth="1"/>
  </cols>
  <sheetData>
    <row r="1" spans="1:9" x14ac:dyDescent="0.25">
      <c r="A1" s="7">
        <v>1</v>
      </c>
      <c r="B1" s="7">
        <v>2</v>
      </c>
      <c r="C1" s="7">
        <v>3</v>
      </c>
      <c r="D1" s="7">
        <v>4</v>
      </c>
      <c r="E1" s="7">
        <v>5</v>
      </c>
      <c r="F1" s="7">
        <v>6</v>
      </c>
      <c r="G1" s="7">
        <v>7</v>
      </c>
      <c r="H1" s="7">
        <v>8</v>
      </c>
    </row>
    <row r="2" spans="1:9" ht="39.6" x14ac:dyDescent="0.25">
      <c r="A2" s="131" t="s">
        <v>33</v>
      </c>
      <c r="B2" s="131" t="s">
        <v>34</v>
      </c>
      <c r="C2" s="130" t="s">
        <v>517</v>
      </c>
      <c r="D2" s="130" t="s">
        <v>561</v>
      </c>
      <c r="E2" s="130" t="s">
        <v>510</v>
      </c>
      <c r="F2" s="130" t="s">
        <v>512</v>
      </c>
      <c r="G2" s="130" t="s">
        <v>562</v>
      </c>
      <c r="H2" s="130" t="s">
        <v>511</v>
      </c>
      <c r="I2" s="175"/>
    </row>
    <row r="3" spans="1:9" x14ac:dyDescent="0.25">
      <c r="A3" s="189">
        <v>20100</v>
      </c>
      <c r="B3" s="204" t="s">
        <v>37</v>
      </c>
      <c r="C3" s="205">
        <f>Data!AC4</f>
        <v>300346</v>
      </c>
      <c r="D3" s="205">
        <f>Data!E4</f>
        <v>-390532</v>
      </c>
      <c r="E3" s="205">
        <f>SUM(-C3+D3)</f>
        <v>-690878</v>
      </c>
      <c r="F3" s="205">
        <f>-C3</f>
        <v>-300346</v>
      </c>
      <c r="G3" s="205">
        <f>C3+F3</f>
        <v>0</v>
      </c>
      <c r="H3" s="206">
        <f>D3</f>
        <v>-390532</v>
      </c>
    </row>
    <row r="4" spans="1:9" x14ac:dyDescent="0.25">
      <c r="A4" s="187">
        <v>20300</v>
      </c>
      <c r="B4" s="207" t="s">
        <v>39</v>
      </c>
      <c r="C4" s="205">
        <f>Data!AC5</f>
        <v>613921</v>
      </c>
      <c r="D4" s="205">
        <f>Data!E5</f>
        <v>-789546</v>
      </c>
      <c r="E4" s="205">
        <f t="shared" ref="E4:E67" si="0">SUM(-C4+D4)</f>
        <v>-1403467</v>
      </c>
      <c r="F4" s="205">
        <f t="shared" ref="F4:F67" si="1">-C4</f>
        <v>-613921</v>
      </c>
      <c r="G4" s="205">
        <f t="shared" ref="G4:G67" si="2">C4+F4</f>
        <v>0</v>
      </c>
      <c r="H4" s="206">
        <f t="shared" ref="H4:H67" si="3">D4</f>
        <v>-789546</v>
      </c>
    </row>
    <row r="5" spans="1:9" x14ac:dyDescent="0.25">
      <c r="A5" s="189">
        <v>20400</v>
      </c>
      <c r="B5" s="204" t="s">
        <v>40</v>
      </c>
      <c r="C5" s="205">
        <f>Data!AC6</f>
        <v>32894</v>
      </c>
      <c r="D5" s="205">
        <f>Data!E6</f>
        <v>-42053</v>
      </c>
      <c r="E5" s="205">
        <f t="shared" si="0"/>
        <v>-74947</v>
      </c>
      <c r="F5" s="205">
        <f t="shared" si="1"/>
        <v>-32894</v>
      </c>
      <c r="G5" s="205">
        <f t="shared" si="2"/>
        <v>0</v>
      </c>
      <c r="H5" s="206">
        <f t="shared" si="3"/>
        <v>-42053</v>
      </c>
    </row>
    <row r="6" spans="1:9" x14ac:dyDescent="0.25">
      <c r="A6" s="187">
        <v>20600</v>
      </c>
      <c r="B6" s="207" t="s">
        <v>41</v>
      </c>
      <c r="C6" s="205">
        <f>Data!AC7</f>
        <v>73394</v>
      </c>
      <c r="D6" s="205">
        <f>Data!E7</f>
        <v>-97840</v>
      </c>
      <c r="E6" s="205">
        <f t="shared" si="0"/>
        <v>-171234</v>
      </c>
      <c r="F6" s="205">
        <f t="shared" si="1"/>
        <v>-73394</v>
      </c>
      <c r="G6" s="205">
        <f t="shared" si="2"/>
        <v>0</v>
      </c>
      <c r="H6" s="206">
        <f t="shared" si="3"/>
        <v>-97840</v>
      </c>
    </row>
    <row r="7" spans="1:9" x14ac:dyDescent="0.25">
      <c r="A7" s="189">
        <v>20800</v>
      </c>
      <c r="B7" s="204" t="s">
        <v>43</v>
      </c>
      <c r="C7" s="205">
        <f>Data!AC8</f>
        <v>104647</v>
      </c>
      <c r="D7" s="205">
        <f>Data!E8</f>
        <v>-133874</v>
      </c>
      <c r="E7" s="205">
        <f t="shared" si="0"/>
        <v>-238521</v>
      </c>
      <c r="F7" s="205">
        <f t="shared" si="1"/>
        <v>-104647</v>
      </c>
      <c r="G7" s="205">
        <f t="shared" si="2"/>
        <v>0</v>
      </c>
      <c r="H7" s="206">
        <f t="shared" si="3"/>
        <v>-133874</v>
      </c>
    </row>
    <row r="8" spans="1:9" x14ac:dyDescent="0.25">
      <c r="A8" s="187">
        <v>10950</v>
      </c>
      <c r="B8" s="207" t="s">
        <v>36</v>
      </c>
      <c r="C8" s="205">
        <f>Data!AC9</f>
        <v>27022</v>
      </c>
      <c r="D8" s="205">
        <f>Data!E9</f>
        <v>-37562</v>
      </c>
      <c r="E8" s="205">
        <f t="shared" si="0"/>
        <v>-64584</v>
      </c>
      <c r="F8" s="205">
        <f t="shared" si="1"/>
        <v>-27022</v>
      </c>
      <c r="G8" s="205">
        <f t="shared" si="2"/>
        <v>0</v>
      </c>
      <c r="H8" s="206">
        <f t="shared" si="3"/>
        <v>-37562</v>
      </c>
    </row>
    <row r="9" spans="1:9" x14ac:dyDescent="0.25">
      <c r="A9" s="189">
        <v>20200</v>
      </c>
      <c r="B9" s="204" t="s">
        <v>38</v>
      </c>
      <c r="C9" s="205">
        <f>Data!AC10</f>
        <v>41003</v>
      </c>
      <c r="D9" s="205">
        <f>Data!E10</f>
        <v>-52873</v>
      </c>
      <c r="E9" s="205">
        <f t="shared" si="0"/>
        <v>-93876</v>
      </c>
      <c r="F9" s="205">
        <f t="shared" si="1"/>
        <v>-41003</v>
      </c>
      <c r="G9" s="205">
        <f t="shared" si="2"/>
        <v>0</v>
      </c>
      <c r="H9" s="206">
        <f t="shared" si="3"/>
        <v>-52873</v>
      </c>
    </row>
    <row r="10" spans="1:9" x14ac:dyDescent="0.25">
      <c r="A10" s="187">
        <v>21300</v>
      </c>
      <c r="B10" s="207" t="s">
        <v>46</v>
      </c>
      <c r="C10" s="205">
        <f>Data!AC11</f>
        <v>1031656</v>
      </c>
      <c r="D10" s="205">
        <f>Data!E11</f>
        <v>-1343713</v>
      </c>
      <c r="E10" s="205">
        <f t="shared" si="0"/>
        <v>-2375369</v>
      </c>
      <c r="F10" s="205">
        <f t="shared" si="1"/>
        <v>-1031656</v>
      </c>
      <c r="G10" s="205">
        <f t="shared" si="2"/>
        <v>0</v>
      </c>
      <c r="H10" s="206">
        <f t="shared" si="3"/>
        <v>-1343713</v>
      </c>
    </row>
    <row r="11" spans="1:9" x14ac:dyDescent="0.25">
      <c r="A11" s="189">
        <v>20700</v>
      </c>
      <c r="B11" s="204" t="s">
        <v>42</v>
      </c>
      <c r="C11" s="205">
        <f>Data!AC12</f>
        <v>154778</v>
      </c>
      <c r="D11" s="205">
        <f>Data!E12</f>
        <v>-204421</v>
      </c>
      <c r="E11" s="205">
        <f t="shared" si="0"/>
        <v>-359199</v>
      </c>
      <c r="F11" s="205">
        <f t="shared" si="1"/>
        <v>-154778</v>
      </c>
      <c r="G11" s="205">
        <f t="shared" si="2"/>
        <v>0</v>
      </c>
      <c r="H11" s="206">
        <f t="shared" si="3"/>
        <v>-204421</v>
      </c>
    </row>
    <row r="12" spans="1:9" x14ac:dyDescent="0.25">
      <c r="A12" s="187">
        <v>21200</v>
      </c>
      <c r="B12" s="207" t="s">
        <v>45</v>
      </c>
      <c r="C12" s="205">
        <f>Data!AC13</f>
        <v>83126</v>
      </c>
      <c r="D12" s="205">
        <f>Data!E13</f>
        <v>-100072</v>
      </c>
      <c r="E12" s="205">
        <f t="shared" si="0"/>
        <v>-183198</v>
      </c>
      <c r="F12" s="205">
        <f t="shared" si="1"/>
        <v>-83126</v>
      </c>
      <c r="G12" s="205">
        <f t="shared" si="2"/>
        <v>0</v>
      </c>
      <c r="H12" s="206">
        <f t="shared" si="3"/>
        <v>-100072</v>
      </c>
    </row>
    <row r="13" spans="1:9" x14ac:dyDescent="0.25">
      <c r="A13" s="189">
        <v>21550</v>
      </c>
      <c r="B13" s="204" t="s">
        <v>48</v>
      </c>
      <c r="C13" s="205">
        <f>Data!AC14</f>
        <v>1247778</v>
      </c>
      <c r="D13" s="205">
        <f>Data!E14</f>
        <v>-1487738</v>
      </c>
      <c r="E13" s="205">
        <f t="shared" si="0"/>
        <v>-2735516</v>
      </c>
      <c r="F13" s="205">
        <f t="shared" si="1"/>
        <v>-1247778</v>
      </c>
      <c r="G13" s="205">
        <f t="shared" si="2"/>
        <v>0</v>
      </c>
      <c r="H13" s="206">
        <f t="shared" si="3"/>
        <v>-1487738</v>
      </c>
    </row>
    <row r="14" spans="1:9" x14ac:dyDescent="0.25">
      <c r="A14" s="187">
        <v>21520</v>
      </c>
      <c r="B14" s="207" t="s">
        <v>47</v>
      </c>
      <c r="C14" s="205">
        <f>Data!AC15</f>
        <v>2025860</v>
      </c>
      <c r="D14" s="205">
        <f>Data!E15</f>
        <v>-2598342</v>
      </c>
      <c r="E14" s="205">
        <f t="shared" si="0"/>
        <v>-4624202</v>
      </c>
      <c r="F14" s="205">
        <f t="shared" si="1"/>
        <v>-2025860</v>
      </c>
      <c r="G14" s="205">
        <f t="shared" si="2"/>
        <v>0</v>
      </c>
      <c r="H14" s="206">
        <f t="shared" si="3"/>
        <v>-2598342</v>
      </c>
    </row>
    <row r="15" spans="1:9" x14ac:dyDescent="0.25">
      <c r="A15" s="189">
        <v>23000</v>
      </c>
      <c r="B15" s="204" t="s">
        <v>51</v>
      </c>
      <c r="C15" s="205">
        <f>Data!AC16</f>
        <v>62184</v>
      </c>
      <c r="D15" s="205">
        <f>Data!E16</f>
        <v>-81999</v>
      </c>
      <c r="E15" s="205">
        <f t="shared" si="0"/>
        <v>-144183</v>
      </c>
      <c r="F15" s="205">
        <f t="shared" si="1"/>
        <v>-62184</v>
      </c>
      <c r="G15" s="205">
        <f t="shared" si="2"/>
        <v>0</v>
      </c>
      <c r="H15" s="206">
        <f t="shared" si="3"/>
        <v>-81999</v>
      </c>
    </row>
    <row r="16" spans="1:9" x14ac:dyDescent="0.25">
      <c r="A16" s="187">
        <v>23100</v>
      </c>
      <c r="B16" s="207" t="s">
        <v>52</v>
      </c>
      <c r="C16" s="205">
        <f>Data!AC17</f>
        <v>414121</v>
      </c>
      <c r="D16" s="205">
        <f>Data!E17</f>
        <v>-535650</v>
      </c>
      <c r="E16" s="205">
        <f t="shared" si="0"/>
        <v>-949771</v>
      </c>
      <c r="F16" s="205">
        <f t="shared" si="1"/>
        <v>-414121</v>
      </c>
      <c r="G16" s="205">
        <f t="shared" si="2"/>
        <v>0</v>
      </c>
      <c r="H16" s="206">
        <f t="shared" si="3"/>
        <v>-535650</v>
      </c>
    </row>
    <row r="17" spans="1:8" x14ac:dyDescent="0.25">
      <c r="A17" s="189">
        <v>20900</v>
      </c>
      <c r="B17" s="204" t="s">
        <v>44</v>
      </c>
      <c r="C17" s="205">
        <f>Data!AC18</f>
        <v>255058</v>
      </c>
      <c r="D17" s="205">
        <f>Data!E18</f>
        <v>-301431</v>
      </c>
      <c r="E17" s="205">
        <f t="shared" si="0"/>
        <v>-556489</v>
      </c>
      <c r="F17" s="205">
        <f t="shared" si="1"/>
        <v>-255058</v>
      </c>
      <c r="G17" s="205">
        <f t="shared" si="2"/>
        <v>0</v>
      </c>
      <c r="H17" s="206">
        <f t="shared" si="3"/>
        <v>-301431</v>
      </c>
    </row>
    <row r="18" spans="1:8" x14ac:dyDescent="0.25">
      <c r="A18" s="187">
        <v>23200</v>
      </c>
      <c r="B18" s="207" t="s">
        <v>53</v>
      </c>
      <c r="C18" s="205">
        <f>Data!AC19</f>
        <v>243181</v>
      </c>
      <c r="D18" s="205">
        <f>Data!E19</f>
        <v>-309439</v>
      </c>
      <c r="E18" s="205">
        <f t="shared" si="0"/>
        <v>-552620</v>
      </c>
      <c r="F18" s="205">
        <f t="shared" si="1"/>
        <v>-243181</v>
      </c>
      <c r="G18" s="205">
        <f t="shared" si="2"/>
        <v>0</v>
      </c>
      <c r="H18" s="206">
        <f t="shared" si="3"/>
        <v>-309439</v>
      </c>
    </row>
    <row r="19" spans="1:8" x14ac:dyDescent="0.25">
      <c r="A19" s="189">
        <v>21800</v>
      </c>
      <c r="B19" s="204" t="s">
        <v>49</v>
      </c>
      <c r="C19" s="205">
        <f>Data!AC20</f>
        <v>156720</v>
      </c>
      <c r="D19" s="205">
        <f>Data!E20</f>
        <v>-197823</v>
      </c>
      <c r="E19" s="205">
        <f t="shared" si="0"/>
        <v>-354543</v>
      </c>
      <c r="F19" s="205">
        <f t="shared" si="1"/>
        <v>-156720</v>
      </c>
      <c r="G19" s="205">
        <f t="shared" si="2"/>
        <v>0</v>
      </c>
      <c r="H19" s="206">
        <f t="shared" si="3"/>
        <v>-197823</v>
      </c>
    </row>
    <row r="20" spans="1:8" x14ac:dyDescent="0.25">
      <c r="A20" s="187">
        <v>21900</v>
      </c>
      <c r="B20" s="207" t="s">
        <v>50</v>
      </c>
      <c r="C20" s="205">
        <f>Data!AC21</f>
        <v>65737</v>
      </c>
      <c r="D20" s="205">
        <f>Data!E21</f>
        <v>-80369</v>
      </c>
      <c r="E20" s="205">
        <f t="shared" si="0"/>
        <v>-146106</v>
      </c>
      <c r="F20" s="205">
        <f t="shared" si="1"/>
        <v>-65737</v>
      </c>
      <c r="G20" s="205">
        <f t="shared" si="2"/>
        <v>0</v>
      </c>
      <c r="H20" s="206">
        <f t="shared" si="3"/>
        <v>-80369</v>
      </c>
    </row>
    <row r="21" spans="1:8" x14ac:dyDescent="0.25">
      <c r="A21" s="189">
        <v>30105</v>
      </c>
      <c r="B21" s="204" t="s">
        <v>54</v>
      </c>
      <c r="C21" s="205">
        <f>Data!AC22</f>
        <v>18343</v>
      </c>
      <c r="D21" s="205">
        <f>Data!E22</f>
        <v>-23341</v>
      </c>
      <c r="E21" s="205">
        <f t="shared" si="0"/>
        <v>-41684</v>
      </c>
      <c r="F21" s="205">
        <f t="shared" si="1"/>
        <v>-18343</v>
      </c>
      <c r="G21" s="205">
        <f t="shared" si="2"/>
        <v>0</v>
      </c>
      <c r="H21" s="206">
        <f t="shared" si="3"/>
        <v>-23341</v>
      </c>
    </row>
    <row r="22" spans="1:8" x14ac:dyDescent="0.25">
      <c r="A22" s="187">
        <v>31105</v>
      </c>
      <c r="B22" s="207" t="s">
        <v>59</v>
      </c>
      <c r="C22" s="205">
        <f>Data!AC23</f>
        <v>34639</v>
      </c>
      <c r="D22" s="205">
        <f>Data!E23</f>
        <v>-44269</v>
      </c>
      <c r="E22" s="205">
        <f t="shared" si="0"/>
        <v>-78908</v>
      </c>
      <c r="F22" s="205">
        <f t="shared" si="1"/>
        <v>-34639</v>
      </c>
      <c r="G22" s="205">
        <f t="shared" si="2"/>
        <v>0</v>
      </c>
      <c r="H22" s="206">
        <f t="shared" si="3"/>
        <v>-44269</v>
      </c>
    </row>
    <row r="23" spans="1:8" x14ac:dyDescent="0.25">
      <c r="A23" s="189">
        <v>30705</v>
      </c>
      <c r="B23" s="204" t="s">
        <v>56</v>
      </c>
      <c r="C23" s="205">
        <f>Data!AC24</f>
        <v>12037</v>
      </c>
      <c r="D23" s="205">
        <f>Data!E24</f>
        <v>-15238</v>
      </c>
      <c r="E23" s="205">
        <f t="shared" si="0"/>
        <v>-27275</v>
      </c>
      <c r="F23" s="205">
        <f t="shared" si="1"/>
        <v>-12037</v>
      </c>
      <c r="G23" s="205">
        <f t="shared" si="2"/>
        <v>0</v>
      </c>
      <c r="H23" s="206">
        <f t="shared" si="3"/>
        <v>-15238</v>
      </c>
    </row>
    <row r="24" spans="1:8" x14ac:dyDescent="0.25">
      <c r="A24" s="187">
        <v>30905</v>
      </c>
      <c r="B24" s="207" t="s">
        <v>57</v>
      </c>
      <c r="C24" s="205">
        <f>Data!AC25</f>
        <v>6968</v>
      </c>
      <c r="D24" s="205">
        <f>Data!E25</f>
        <v>-8867</v>
      </c>
      <c r="E24" s="205">
        <f t="shared" si="0"/>
        <v>-15835</v>
      </c>
      <c r="F24" s="205">
        <f t="shared" si="1"/>
        <v>-6968</v>
      </c>
      <c r="G24" s="205">
        <f t="shared" si="2"/>
        <v>0</v>
      </c>
      <c r="H24" s="206">
        <f t="shared" si="3"/>
        <v>-8867</v>
      </c>
    </row>
    <row r="25" spans="1:8" x14ac:dyDescent="0.25">
      <c r="A25" s="189">
        <v>34505</v>
      </c>
      <c r="B25" s="204" t="s">
        <v>78</v>
      </c>
      <c r="C25" s="205">
        <f>Data!AC26</f>
        <v>18104</v>
      </c>
      <c r="D25" s="205">
        <f>Data!E26</f>
        <v>-22521</v>
      </c>
      <c r="E25" s="205">
        <f t="shared" si="0"/>
        <v>-40625</v>
      </c>
      <c r="F25" s="205">
        <f t="shared" si="1"/>
        <v>-18104</v>
      </c>
      <c r="G25" s="205">
        <f t="shared" si="2"/>
        <v>0</v>
      </c>
      <c r="H25" s="206">
        <f t="shared" si="3"/>
        <v>-22521</v>
      </c>
    </row>
    <row r="26" spans="1:8" x14ac:dyDescent="0.25">
      <c r="A26" s="187">
        <v>31005</v>
      </c>
      <c r="B26" s="207" t="s">
        <v>58</v>
      </c>
      <c r="C26" s="205">
        <f>Data!AC27</f>
        <v>11021</v>
      </c>
      <c r="D26" s="205">
        <f>Data!E27</f>
        <v>-14026</v>
      </c>
      <c r="E26" s="205">
        <f t="shared" si="0"/>
        <v>-25047</v>
      </c>
      <c r="F26" s="205">
        <f t="shared" si="1"/>
        <v>-11021</v>
      </c>
      <c r="G26" s="205">
        <f t="shared" si="2"/>
        <v>0</v>
      </c>
      <c r="H26" s="206">
        <f t="shared" si="3"/>
        <v>-14026</v>
      </c>
    </row>
    <row r="27" spans="1:8" x14ac:dyDescent="0.25">
      <c r="A27" s="189">
        <v>31405</v>
      </c>
      <c r="B27" s="204" t="s">
        <v>61</v>
      </c>
      <c r="C27" s="205">
        <f>Data!AC28</f>
        <v>21886</v>
      </c>
      <c r="D27" s="205">
        <f>Data!E28</f>
        <v>-27697</v>
      </c>
      <c r="E27" s="205">
        <f t="shared" si="0"/>
        <v>-49583</v>
      </c>
      <c r="F27" s="205">
        <f t="shared" si="1"/>
        <v>-21886</v>
      </c>
      <c r="G27" s="205">
        <f t="shared" si="2"/>
        <v>0</v>
      </c>
      <c r="H27" s="206">
        <f t="shared" si="3"/>
        <v>-27697</v>
      </c>
    </row>
    <row r="28" spans="1:8" x14ac:dyDescent="0.25">
      <c r="A28" s="187">
        <v>36505</v>
      </c>
      <c r="B28" s="207" t="s">
        <v>92</v>
      </c>
      <c r="C28" s="205">
        <f>Data!AC29</f>
        <v>49788</v>
      </c>
      <c r="D28" s="205">
        <f>Data!E29</f>
        <v>-60976</v>
      </c>
      <c r="E28" s="205">
        <f t="shared" si="0"/>
        <v>-110764</v>
      </c>
      <c r="F28" s="205">
        <f t="shared" si="1"/>
        <v>-49788</v>
      </c>
      <c r="G28" s="205">
        <f t="shared" si="2"/>
        <v>0</v>
      </c>
      <c r="H28" s="206">
        <f t="shared" si="3"/>
        <v>-60976</v>
      </c>
    </row>
    <row r="29" spans="1:8" x14ac:dyDescent="0.25">
      <c r="A29" s="189">
        <v>31605</v>
      </c>
      <c r="B29" s="204" t="s">
        <v>62</v>
      </c>
      <c r="C29" s="205">
        <f>Data!AC30</f>
        <v>11766</v>
      </c>
      <c r="D29" s="205">
        <f>Data!E30</f>
        <v>-14761</v>
      </c>
      <c r="E29" s="205">
        <f t="shared" si="0"/>
        <v>-26527</v>
      </c>
      <c r="F29" s="205">
        <f t="shared" si="1"/>
        <v>-11766</v>
      </c>
      <c r="G29" s="205">
        <f t="shared" si="2"/>
        <v>0</v>
      </c>
      <c r="H29" s="206">
        <f t="shared" si="3"/>
        <v>-14761</v>
      </c>
    </row>
    <row r="30" spans="1:8" x14ac:dyDescent="0.25">
      <c r="A30" s="187">
        <v>31805</v>
      </c>
      <c r="B30" s="207" t="s">
        <v>63</v>
      </c>
      <c r="C30" s="205">
        <f>Data!AC31</f>
        <v>29184</v>
      </c>
      <c r="D30" s="205">
        <f>Data!E31</f>
        <v>-31583</v>
      </c>
      <c r="E30" s="205">
        <f t="shared" si="0"/>
        <v>-60767</v>
      </c>
      <c r="F30" s="205">
        <f t="shared" si="1"/>
        <v>-29184</v>
      </c>
      <c r="G30" s="205">
        <f t="shared" si="2"/>
        <v>0</v>
      </c>
      <c r="H30" s="206">
        <f t="shared" si="3"/>
        <v>-31583</v>
      </c>
    </row>
    <row r="31" spans="1:8" x14ac:dyDescent="0.25">
      <c r="A31" s="189">
        <v>35305</v>
      </c>
      <c r="B31" s="204" t="s">
        <v>83</v>
      </c>
      <c r="C31" s="205">
        <f>Data!AC32</f>
        <v>34591</v>
      </c>
      <c r="D31" s="205">
        <f>Data!E32</f>
        <v>-40749</v>
      </c>
      <c r="E31" s="205">
        <f t="shared" si="0"/>
        <v>-75340</v>
      </c>
      <c r="F31" s="205">
        <f t="shared" si="1"/>
        <v>-34591</v>
      </c>
      <c r="G31" s="205">
        <f t="shared" si="2"/>
        <v>0</v>
      </c>
      <c r="H31" s="206">
        <f t="shared" si="3"/>
        <v>-40749</v>
      </c>
    </row>
    <row r="32" spans="1:8" x14ac:dyDescent="0.25">
      <c r="A32" s="187">
        <v>36005</v>
      </c>
      <c r="B32" s="207" t="s">
        <v>87</v>
      </c>
      <c r="C32" s="205">
        <f>Data!AC33</f>
        <v>95908</v>
      </c>
      <c r="D32" s="205">
        <f>Data!E33</f>
        <v>-124039</v>
      </c>
      <c r="E32" s="205">
        <f t="shared" si="0"/>
        <v>-219947</v>
      </c>
      <c r="F32" s="205">
        <f t="shared" si="1"/>
        <v>-95908</v>
      </c>
      <c r="G32" s="205">
        <f t="shared" si="2"/>
        <v>0</v>
      </c>
      <c r="H32" s="206">
        <f t="shared" si="3"/>
        <v>-124039</v>
      </c>
    </row>
    <row r="33" spans="1:8" x14ac:dyDescent="0.25">
      <c r="A33" s="189">
        <v>32305</v>
      </c>
      <c r="B33" s="204" t="s">
        <v>65</v>
      </c>
      <c r="C33" s="205">
        <f>Data!AC34</f>
        <v>15963</v>
      </c>
      <c r="D33" s="205">
        <f>Data!E34</f>
        <v>-20240</v>
      </c>
      <c r="E33" s="205">
        <f t="shared" si="0"/>
        <v>-36203</v>
      </c>
      <c r="F33" s="205">
        <f t="shared" si="1"/>
        <v>-15963</v>
      </c>
      <c r="G33" s="205">
        <f t="shared" si="2"/>
        <v>0</v>
      </c>
      <c r="H33" s="206">
        <f t="shared" si="3"/>
        <v>-20240</v>
      </c>
    </row>
    <row r="34" spans="1:8" x14ac:dyDescent="0.25">
      <c r="A34" s="187">
        <v>36705</v>
      </c>
      <c r="B34" s="207" t="s">
        <v>93</v>
      </c>
      <c r="C34" s="205">
        <f>Data!AC35</f>
        <v>21314</v>
      </c>
      <c r="D34" s="205">
        <f>Data!E35</f>
        <v>-25906</v>
      </c>
      <c r="E34" s="205">
        <f t="shared" si="0"/>
        <v>-47220</v>
      </c>
      <c r="F34" s="205">
        <f t="shared" si="1"/>
        <v>-21314</v>
      </c>
      <c r="G34" s="205">
        <f t="shared" si="2"/>
        <v>0</v>
      </c>
      <c r="H34" s="206">
        <f t="shared" si="3"/>
        <v>-25906</v>
      </c>
    </row>
    <row r="35" spans="1:8" x14ac:dyDescent="0.25">
      <c r="A35" s="189">
        <v>37005</v>
      </c>
      <c r="B35" s="204" t="s">
        <v>95</v>
      </c>
      <c r="C35" s="205">
        <f>Data!AC36</f>
        <v>13910</v>
      </c>
      <c r="D35" s="205">
        <f>Data!E36</f>
        <v>-17154</v>
      </c>
      <c r="E35" s="205">
        <f t="shared" si="0"/>
        <v>-31064</v>
      </c>
      <c r="F35" s="205">
        <f t="shared" si="1"/>
        <v>-13910</v>
      </c>
      <c r="G35" s="205">
        <f t="shared" si="2"/>
        <v>0</v>
      </c>
      <c r="H35" s="206">
        <f t="shared" si="3"/>
        <v>-17154</v>
      </c>
    </row>
    <row r="36" spans="1:8" x14ac:dyDescent="0.25">
      <c r="A36" s="187">
        <v>32505</v>
      </c>
      <c r="B36" s="207" t="s">
        <v>67</v>
      </c>
      <c r="C36" s="205">
        <f>Data!AC37</f>
        <v>17737</v>
      </c>
      <c r="D36" s="205">
        <f>Data!E37</f>
        <v>-22307</v>
      </c>
      <c r="E36" s="205">
        <f t="shared" si="0"/>
        <v>-40044</v>
      </c>
      <c r="F36" s="205">
        <f t="shared" si="1"/>
        <v>-17737</v>
      </c>
      <c r="G36" s="205">
        <f t="shared" si="2"/>
        <v>0</v>
      </c>
      <c r="H36" s="206">
        <f t="shared" si="3"/>
        <v>-22307</v>
      </c>
    </row>
    <row r="37" spans="1:8" x14ac:dyDescent="0.25">
      <c r="A37" s="189">
        <v>32905</v>
      </c>
      <c r="B37" s="204" t="s">
        <v>69</v>
      </c>
      <c r="C37" s="205">
        <f>Data!AC38</f>
        <v>19992</v>
      </c>
      <c r="D37" s="205">
        <f>Data!E38</f>
        <v>-24925</v>
      </c>
      <c r="E37" s="205">
        <f t="shared" si="0"/>
        <v>-44917</v>
      </c>
      <c r="F37" s="205">
        <f t="shared" si="1"/>
        <v>-19992</v>
      </c>
      <c r="G37" s="205">
        <f t="shared" si="2"/>
        <v>0</v>
      </c>
      <c r="H37" s="206">
        <f t="shared" si="3"/>
        <v>-24925</v>
      </c>
    </row>
    <row r="38" spans="1:8" x14ac:dyDescent="0.25">
      <c r="A38" s="187">
        <v>33205</v>
      </c>
      <c r="B38" s="207" t="s">
        <v>71</v>
      </c>
      <c r="C38" s="205">
        <f>Data!AC39</f>
        <v>30266</v>
      </c>
      <c r="D38" s="205">
        <f>Data!E39</f>
        <v>-39379</v>
      </c>
      <c r="E38" s="205">
        <f t="shared" si="0"/>
        <v>-69645</v>
      </c>
      <c r="F38" s="205">
        <f t="shared" si="1"/>
        <v>-30266</v>
      </c>
      <c r="G38" s="205">
        <f t="shared" si="2"/>
        <v>0</v>
      </c>
      <c r="H38" s="206">
        <f t="shared" si="3"/>
        <v>-39379</v>
      </c>
    </row>
    <row r="39" spans="1:8" x14ac:dyDescent="0.25">
      <c r="A39" s="189">
        <v>33305</v>
      </c>
      <c r="B39" s="204" t="s">
        <v>72</v>
      </c>
      <c r="C39" s="205">
        <f>Data!AC40</f>
        <v>10700</v>
      </c>
      <c r="D39" s="205">
        <f>Data!E40</f>
        <v>-13256</v>
      </c>
      <c r="E39" s="205">
        <f t="shared" si="0"/>
        <v>-23956</v>
      </c>
      <c r="F39" s="205">
        <f t="shared" si="1"/>
        <v>-10700</v>
      </c>
      <c r="G39" s="205">
        <f t="shared" si="2"/>
        <v>0</v>
      </c>
      <c r="H39" s="206">
        <f t="shared" si="3"/>
        <v>-13256</v>
      </c>
    </row>
    <row r="40" spans="1:8" x14ac:dyDescent="0.25">
      <c r="A40" s="187">
        <v>32605</v>
      </c>
      <c r="B40" s="207" t="s">
        <v>68</v>
      </c>
      <c r="C40" s="205">
        <f>Data!AC41</f>
        <v>71205</v>
      </c>
      <c r="D40" s="205">
        <f>Data!E41</f>
        <v>-82802</v>
      </c>
      <c r="E40" s="205">
        <f t="shared" si="0"/>
        <v>-154007</v>
      </c>
      <c r="F40" s="205">
        <f t="shared" si="1"/>
        <v>-71205</v>
      </c>
      <c r="G40" s="205">
        <f t="shared" si="2"/>
        <v>0</v>
      </c>
      <c r="H40" s="206">
        <f t="shared" si="3"/>
        <v>-82802</v>
      </c>
    </row>
    <row r="41" spans="1:8" x14ac:dyDescent="0.25">
      <c r="A41" s="189">
        <v>33405</v>
      </c>
      <c r="B41" s="204" t="s">
        <v>73</v>
      </c>
      <c r="C41" s="205">
        <f>Data!AC42</f>
        <v>43421</v>
      </c>
      <c r="D41" s="205">
        <f>Data!E42</f>
        <v>-58918</v>
      </c>
      <c r="E41" s="205">
        <f t="shared" si="0"/>
        <v>-102339</v>
      </c>
      <c r="F41" s="205">
        <f t="shared" si="1"/>
        <v>-43421</v>
      </c>
      <c r="G41" s="205">
        <f t="shared" si="2"/>
        <v>0</v>
      </c>
      <c r="H41" s="206">
        <f t="shared" si="3"/>
        <v>-58918</v>
      </c>
    </row>
    <row r="42" spans="1:8" x14ac:dyDescent="0.25">
      <c r="A42" s="187">
        <v>33605</v>
      </c>
      <c r="B42" s="207" t="s">
        <v>74</v>
      </c>
      <c r="C42" s="205">
        <f>Data!AC43</f>
        <v>29846</v>
      </c>
      <c r="D42" s="205">
        <f>Data!E43</f>
        <v>-37918</v>
      </c>
      <c r="E42" s="205">
        <f t="shared" si="0"/>
        <v>-67764</v>
      </c>
      <c r="F42" s="205">
        <f t="shared" si="1"/>
        <v>-29846</v>
      </c>
      <c r="G42" s="205">
        <f t="shared" si="2"/>
        <v>0</v>
      </c>
      <c r="H42" s="206">
        <f t="shared" si="3"/>
        <v>-37918</v>
      </c>
    </row>
    <row r="43" spans="1:8" x14ac:dyDescent="0.25">
      <c r="A43" s="189">
        <v>34105</v>
      </c>
      <c r="B43" s="204" t="s">
        <v>75</v>
      </c>
      <c r="C43" s="205">
        <f>Data!AC44</f>
        <v>49104</v>
      </c>
      <c r="D43" s="205">
        <f>Data!E44</f>
        <v>-60818</v>
      </c>
      <c r="E43" s="205">
        <f t="shared" si="0"/>
        <v>-109922</v>
      </c>
      <c r="F43" s="205">
        <f t="shared" si="1"/>
        <v>-49104</v>
      </c>
      <c r="G43" s="205">
        <f t="shared" si="2"/>
        <v>0</v>
      </c>
      <c r="H43" s="206">
        <f t="shared" si="3"/>
        <v>-60818</v>
      </c>
    </row>
    <row r="44" spans="1:8" x14ac:dyDescent="0.25">
      <c r="A44" s="187">
        <v>34205</v>
      </c>
      <c r="B44" s="207" t="s">
        <v>76</v>
      </c>
      <c r="C44" s="205">
        <f>Data!AC45</f>
        <v>7968</v>
      </c>
      <c r="D44" s="205">
        <f>Data!E45</f>
        <v>-8133</v>
      </c>
      <c r="E44" s="205">
        <f t="shared" si="0"/>
        <v>-16101</v>
      </c>
      <c r="F44" s="205">
        <f t="shared" si="1"/>
        <v>-7968</v>
      </c>
      <c r="G44" s="205">
        <f t="shared" si="2"/>
        <v>0</v>
      </c>
      <c r="H44" s="206">
        <f t="shared" si="3"/>
        <v>-8133</v>
      </c>
    </row>
    <row r="45" spans="1:8" x14ac:dyDescent="0.25">
      <c r="A45" s="189">
        <v>34405</v>
      </c>
      <c r="B45" s="204" t="s">
        <v>77</v>
      </c>
      <c r="C45" s="205">
        <f>Data!AC46</f>
        <v>11567</v>
      </c>
      <c r="D45" s="205">
        <f>Data!E46</f>
        <v>-12729</v>
      </c>
      <c r="E45" s="205">
        <f t="shared" si="0"/>
        <v>-24296</v>
      </c>
      <c r="F45" s="205">
        <f t="shared" si="1"/>
        <v>-11567</v>
      </c>
      <c r="G45" s="205">
        <f t="shared" si="2"/>
        <v>0</v>
      </c>
      <c r="H45" s="206">
        <f t="shared" si="3"/>
        <v>-12729</v>
      </c>
    </row>
    <row r="46" spans="1:8" x14ac:dyDescent="0.25">
      <c r="A46" s="187">
        <v>38105</v>
      </c>
      <c r="B46" s="207" t="s">
        <v>103</v>
      </c>
      <c r="C46" s="205">
        <f>Data!AC47</f>
        <v>13564</v>
      </c>
      <c r="D46" s="205">
        <f>Data!E47</f>
        <v>-15544</v>
      </c>
      <c r="E46" s="205">
        <f t="shared" si="0"/>
        <v>-29108</v>
      </c>
      <c r="F46" s="205">
        <f t="shared" si="1"/>
        <v>-13564</v>
      </c>
      <c r="G46" s="205">
        <f t="shared" si="2"/>
        <v>0</v>
      </c>
      <c r="H46" s="206">
        <f t="shared" si="3"/>
        <v>-15544</v>
      </c>
    </row>
    <row r="47" spans="1:8" x14ac:dyDescent="0.25">
      <c r="A47" s="189">
        <v>33105</v>
      </c>
      <c r="B47" s="204" t="s">
        <v>70</v>
      </c>
      <c r="C47" s="205">
        <f>Data!AC48</f>
        <v>10043</v>
      </c>
      <c r="D47" s="205">
        <f>Data!E48</f>
        <v>-11168</v>
      </c>
      <c r="E47" s="205">
        <f t="shared" si="0"/>
        <v>-21211</v>
      </c>
      <c r="F47" s="205">
        <f t="shared" si="1"/>
        <v>-10043</v>
      </c>
      <c r="G47" s="205">
        <f t="shared" si="2"/>
        <v>0</v>
      </c>
      <c r="H47" s="206">
        <f t="shared" si="3"/>
        <v>-11168</v>
      </c>
    </row>
    <row r="48" spans="1:8" x14ac:dyDescent="0.25">
      <c r="A48" s="187">
        <v>35105</v>
      </c>
      <c r="B48" s="207" t="s">
        <v>82</v>
      </c>
      <c r="C48" s="205">
        <f>Data!AC49</f>
        <v>24955</v>
      </c>
      <c r="D48" s="205">
        <f>Data!E49</f>
        <v>-33476</v>
      </c>
      <c r="E48" s="205">
        <f t="shared" si="0"/>
        <v>-58431</v>
      </c>
      <c r="F48" s="205">
        <f t="shared" si="1"/>
        <v>-24955</v>
      </c>
      <c r="G48" s="205">
        <f t="shared" si="2"/>
        <v>0</v>
      </c>
      <c r="H48" s="206">
        <f t="shared" si="3"/>
        <v>-33476</v>
      </c>
    </row>
    <row r="49" spans="1:8" x14ac:dyDescent="0.25">
      <c r="A49" s="189">
        <v>35405</v>
      </c>
      <c r="B49" s="204" t="s">
        <v>84</v>
      </c>
      <c r="C49" s="205">
        <f>Data!AC50</f>
        <v>19601</v>
      </c>
      <c r="D49" s="205">
        <f>Data!E50</f>
        <v>-23559</v>
      </c>
      <c r="E49" s="205">
        <f t="shared" si="0"/>
        <v>-43160</v>
      </c>
      <c r="F49" s="205">
        <f t="shared" si="1"/>
        <v>-19601</v>
      </c>
      <c r="G49" s="205">
        <f t="shared" si="2"/>
        <v>0</v>
      </c>
      <c r="H49" s="206">
        <f t="shared" si="3"/>
        <v>-23559</v>
      </c>
    </row>
    <row r="50" spans="1:8" x14ac:dyDescent="0.25">
      <c r="A50" s="187">
        <v>35805</v>
      </c>
      <c r="B50" s="207" t="s">
        <v>85</v>
      </c>
      <c r="C50" s="205">
        <f>Data!AC51</f>
        <v>5027</v>
      </c>
      <c r="D50" s="205">
        <f>Data!E51</f>
        <v>-6513</v>
      </c>
      <c r="E50" s="205">
        <f t="shared" si="0"/>
        <v>-11540</v>
      </c>
      <c r="F50" s="205">
        <f t="shared" si="1"/>
        <v>-5027</v>
      </c>
      <c r="G50" s="205">
        <f t="shared" si="2"/>
        <v>0</v>
      </c>
      <c r="H50" s="206">
        <f t="shared" si="3"/>
        <v>-6513</v>
      </c>
    </row>
    <row r="51" spans="1:8" x14ac:dyDescent="0.25">
      <c r="A51" s="189">
        <v>36105</v>
      </c>
      <c r="B51" s="204" t="s">
        <v>88</v>
      </c>
      <c r="C51" s="205">
        <f>Data!AC52</f>
        <v>7394</v>
      </c>
      <c r="D51" s="205">
        <f>Data!E52</f>
        <v>-8432</v>
      </c>
      <c r="E51" s="205">
        <f t="shared" si="0"/>
        <v>-15826</v>
      </c>
      <c r="F51" s="205">
        <f t="shared" si="1"/>
        <v>-7394</v>
      </c>
      <c r="G51" s="205">
        <f t="shared" si="2"/>
        <v>0</v>
      </c>
      <c r="H51" s="206">
        <f t="shared" si="3"/>
        <v>-8432</v>
      </c>
    </row>
    <row r="52" spans="1:8" x14ac:dyDescent="0.25">
      <c r="A52" s="187">
        <v>35905</v>
      </c>
      <c r="B52" s="207" t="s">
        <v>86</v>
      </c>
      <c r="C52" s="205">
        <f>Data!AC53</f>
        <v>7761</v>
      </c>
      <c r="D52" s="205">
        <f>Data!E53</f>
        <v>-9759</v>
      </c>
      <c r="E52" s="205">
        <f t="shared" si="0"/>
        <v>-17520</v>
      </c>
      <c r="F52" s="205">
        <f t="shared" si="1"/>
        <v>-7761</v>
      </c>
      <c r="G52" s="205">
        <f t="shared" si="2"/>
        <v>0</v>
      </c>
      <c r="H52" s="206">
        <f t="shared" si="3"/>
        <v>-9759</v>
      </c>
    </row>
    <row r="53" spans="1:8" x14ac:dyDescent="0.25">
      <c r="A53" s="189">
        <v>34905</v>
      </c>
      <c r="B53" s="204" t="s">
        <v>80</v>
      </c>
      <c r="C53" s="205">
        <f>Data!AC54</f>
        <v>14920</v>
      </c>
      <c r="D53" s="205">
        <f>Data!E54</f>
        <v>-17454</v>
      </c>
      <c r="E53" s="205">
        <f t="shared" si="0"/>
        <v>-32374</v>
      </c>
      <c r="F53" s="205">
        <f t="shared" si="1"/>
        <v>-14920</v>
      </c>
      <c r="G53" s="205">
        <f t="shared" si="2"/>
        <v>0</v>
      </c>
      <c r="H53" s="206">
        <f t="shared" si="3"/>
        <v>-17454</v>
      </c>
    </row>
    <row r="54" spans="1:8" x14ac:dyDescent="0.25">
      <c r="A54" s="187">
        <v>36205</v>
      </c>
      <c r="B54" s="207" t="s">
        <v>89</v>
      </c>
      <c r="C54" s="205">
        <f>Data!AC55</f>
        <v>6681</v>
      </c>
      <c r="D54" s="205">
        <f>Data!E55</f>
        <v>-8897</v>
      </c>
      <c r="E54" s="205">
        <f t="shared" si="0"/>
        <v>-15578</v>
      </c>
      <c r="F54" s="205">
        <f t="shared" si="1"/>
        <v>-6681</v>
      </c>
      <c r="G54" s="205">
        <f t="shared" si="2"/>
        <v>0</v>
      </c>
      <c r="H54" s="206">
        <f t="shared" si="3"/>
        <v>-8897</v>
      </c>
    </row>
    <row r="55" spans="1:8" x14ac:dyDescent="0.25">
      <c r="A55" s="189">
        <v>36405</v>
      </c>
      <c r="B55" s="204" t="s">
        <v>91</v>
      </c>
      <c r="C55" s="205">
        <f>Data!AC56</f>
        <v>16638</v>
      </c>
      <c r="D55" s="205">
        <f>Data!E56</f>
        <v>-18626</v>
      </c>
      <c r="E55" s="205">
        <f t="shared" si="0"/>
        <v>-35264</v>
      </c>
      <c r="F55" s="205">
        <f t="shared" si="1"/>
        <v>-16638</v>
      </c>
      <c r="G55" s="205">
        <f t="shared" si="2"/>
        <v>0</v>
      </c>
      <c r="H55" s="206">
        <f t="shared" si="3"/>
        <v>-18626</v>
      </c>
    </row>
    <row r="56" spans="1:8" x14ac:dyDescent="0.25">
      <c r="A56" s="187">
        <v>36905</v>
      </c>
      <c r="B56" s="207" t="s">
        <v>94</v>
      </c>
      <c r="C56" s="205">
        <f>Data!AC57</f>
        <v>4535</v>
      </c>
      <c r="D56" s="205">
        <f>Data!E57</f>
        <v>-5015</v>
      </c>
      <c r="E56" s="205">
        <f t="shared" si="0"/>
        <v>-9550</v>
      </c>
      <c r="F56" s="205">
        <f t="shared" si="1"/>
        <v>-4535</v>
      </c>
      <c r="G56" s="205">
        <f t="shared" si="2"/>
        <v>0</v>
      </c>
      <c r="H56" s="206">
        <f t="shared" si="3"/>
        <v>-5015</v>
      </c>
    </row>
    <row r="57" spans="1:8" x14ac:dyDescent="0.25">
      <c r="A57" s="189">
        <v>37305</v>
      </c>
      <c r="B57" s="204" t="s">
        <v>96</v>
      </c>
      <c r="C57" s="205">
        <f>Data!AC58</f>
        <v>10383</v>
      </c>
      <c r="D57" s="205">
        <f>Data!E58</f>
        <v>-12021</v>
      </c>
      <c r="E57" s="205">
        <f t="shared" si="0"/>
        <v>-22404</v>
      </c>
      <c r="F57" s="205">
        <f t="shared" si="1"/>
        <v>-10383</v>
      </c>
      <c r="G57" s="205">
        <f t="shared" si="2"/>
        <v>0</v>
      </c>
      <c r="H57" s="206">
        <f t="shared" si="3"/>
        <v>-12021</v>
      </c>
    </row>
    <row r="58" spans="1:8" x14ac:dyDescent="0.25">
      <c r="A58" s="187">
        <v>37405</v>
      </c>
      <c r="B58" s="207" t="s">
        <v>97</v>
      </c>
      <c r="C58" s="205">
        <f>Data!AC59</f>
        <v>39748</v>
      </c>
      <c r="D58" s="205">
        <f>Data!E59</f>
        <v>-46087</v>
      </c>
      <c r="E58" s="205">
        <f t="shared" si="0"/>
        <v>-85835</v>
      </c>
      <c r="F58" s="205">
        <f t="shared" si="1"/>
        <v>-39748</v>
      </c>
      <c r="G58" s="205">
        <f t="shared" si="2"/>
        <v>0</v>
      </c>
      <c r="H58" s="206">
        <f t="shared" si="3"/>
        <v>-46087</v>
      </c>
    </row>
    <row r="59" spans="1:8" x14ac:dyDescent="0.25">
      <c r="A59" s="189">
        <v>37605</v>
      </c>
      <c r="B59" s="204" t="s">
        <v>98</v>
      </c>
      <c r="C59" s="205">
        <f>Data!AC60</f>
        <v>15527</v>
      </c>
      <c r="D59" s="205">
        <f>Data!E60</f>
        <v>-18863</v>
      </c>
      <c r="E59" s="205">
        <f t="shared" si="0"/>
        <v>-34390</v>
      </c>
      <c r="F59" s="205">
        <f t="shared" si="1"/>
        <v>-15527</v>
      </c>
      <c r="G59" s="205">
        <f t="shared" si="2"/>
        <v>0</v>
      </c>
      <c r="H59" s="206">
        <f t="shared" si="3"/>
        <v>-18863</v>
      </c>
    </row>
    <row r="60" spans="1:8" x14ac:dyDescent="0.25">
      <c r="A60" s="187">
        <v>37705</v>
      </c>
      <c r="B60" s="207" t="s">
        <v>99</v>
      </c>
      <c r="C60" s="205">
        <f>Data!AC61</f>
        <v>16947</v>
      </c>
      <c r="D60" s="205">
        <f>Data!E61</f>
        <v>-20305</v>
      </c>
      <c r="E60" s="205">
        <f t="shared" si="0"/>
        <v>-37252</v>
      </c>
      <c r="F60" s="205">
        <f t="shared" si="1"/>
        <v>-16947</v>
      </c>
      <c r="G60" s="205">
        <f t="shared" si="2"/>
        <v>0</v>
      </c>
      <c r="H60" s="206">
        <f t="shared" si="3"/>
        <v>-20305</v>
      </c>
    </row>
    <row r="61" spans="1:8" x14ac:dyDescent="0.25">
      <c r="A61" s="189">
        <v>34605</v>
      </c>
      <c r="B61" s="204" t="s">
        <v>79</v>
      </c>
      <c r="C61" s="205">
        <f>Data!AC62</f>
        <v>4465</v>
      </c>
      <c r="D61" s="205">
        <f>Data!E62</f>
        <v>-5864</v>
      </c>
      <c r="E61" s="205">
        <f t="shared" si="0"/>
        <v>-10329</v>
      </c>
      <c r="F61" s="205">
        <f t="shared" si="1"/>
        <v>-4465</v>
      </c>
      <c r="G61" s="205">
        <f t="shared" si="2"/>
        <v>0</v>
      </c>
      <c r="H61" s="206">
        <f t="shared" si="3"/>
        <v>-5864</v>
      </c>
    </row>
    <row r="62" spans="1:8" x14ac:dyDescent="0.25">
      <c r="A62" s="187">
        <v>37805</v>
      </c>
      <c r="B62" s="207" t="s">
        <v>100</v>
      </c>
      <c r="C62" s="205">
        <f>Data!AC63</f>
        <v>14372</v>
      </c>
      <c r="D62" s="205">
        <f>Data!E63</f>
        <v>-17665</v>
      </c>
      <c r="E62" s="205">
        <f t="shared" si="0"/>
        <v>-32037</v>
      </c>
      <c r="F62" s="205">
        <f t="shared" si="1"/>
        <v>-14372</v>
      </c>
      <c r="G62" s="205">
        <f t="shared" si="2"/>
        <v>0</v>
      </c>
      <c r="H62" s="206">
        <f t="shared" si="3"/>
        <v>-17665</v>
      </c>
    </row>
    <row r="63" spans="1:8" x14ac:dyDescent="0.25">
      <c r="A63" s="189">
        <v>37905</v>
      </c>
      <c r="B63" s="204" t="s">
        <v>101</v>
      </c>
      <c r="C63" s="205">
        <f>Data!AC64</f>
        <v>10067</v>
      </c>
      <c r="D63" s="205">
        <f>Data!E64</f>
        <v>-12439</v>
      </c>
      <c r="E63" s="205">
        <f t="shared" si="0"/>
        <v>-22506</v>
      </c>
      <c r="F63" s="205">
        <f t="shared" si="1"/>
        <v>-10067</v>
      </c>
      <c r="G63" s="205">
        <f t="shared" si="2"/>
        <v>0</v>
      </c>
      <c r="H63" s="206">
        <f t="shared" si="3"/>
        <v>-12439</v>
      </c>
    </row>
    <row r="64" spans="1:8" x14ac:dyDescent="0.25">
      <c r="A64" s="187">
        <v>38005</v>
      </c>
      <c r="B64" s="207" t="s">
        <v>102</v>
      </c>
      <c r="C64" s="205">
        <f>Data!AC65</f>
        <v>33136</v>
      </c>
      <c r="D64" s="205">
        <f>Data!E65</f>
        <v>-41852</v>
      </c>
      <c r="E64" s="205">
        <f t="shared" si="0"/>
        <v>-74988</v>
      </c>
      <c r="F64" s="205">
        <f t="shared" si="1"/>
        <v>-33136</v>
      </c>
      <c r="G64" s="205">
        <f t="shared" si="2"/>
        <v>0</v>
      </c>
      <c r="H64" s="206">
        <f t="shared" si="3"/>
        <v>-41852</v>
      </c>
    </row>
    <row r="65" spans="1:8" x14ac:dyDescent="0.25">
      <c r="A65" s="189">
        <v>38205</v>
      </c>
      <c r="B65" s="204" t="s">
        <v>104</v>
      </c>
      <c r="C65" s="205">
        <f>Data!AC66</f>
        <v>10593</v>
      </c>
      <c r="D65" s="205">
        <f>Data!E66</f>
        <v>-12515</v>
      </c>
      <c r="E65" s="205">
        <f t="shared" si="0"/>
        <v>-23108</v>
      </c>
      <c r="F65" s="205">
        <f t="shared" si="1"/>
        <v>-10593</v>
      </c>
      <c r="G65" s="205">
        <f t="shared" si="2"/>
        <v>0</v>
      </c>
      <c r="H65" s="206">
        <f t="shared" si="3"/>
        <v>-12515</v>
      </c>
    </row>
    <row r="66" spans="1:8" x14ac:dyDescent="0.25">
      <c r="A66" s="187">
        <v>36305</v>
      </c>
      <c r="B66" s="207" t="s">
        <v>90</v>
      </c>
      <c r="C66" s="205">
        <f>Data!AC67</f>
        <v>23825</v>
      </c>
      <c r="D66" s="205">
        <f>Data!E67</f>
        <v>-29686</v>
      </c>
      <c r="E66" s="205">
        <f t="shared" si="0"/>
        <v>-53511</v>
      </c>
      <c r="F66" s="205">
        <f t="shared" si="1"/>
        <v>-23825</v>
      </c>
      <c r="G66" s="205">
        <f t="shared" si="2"/>
        <v>0</v>
      </c>
      <c r="H66" s="206">
        <f t="shared" si="3"/>
        <v>-29686</v>
      </c>
    </row>
    <row r="67" spans="1:8" x14ac:dyDescent="0.25">
      <c r="A67" s="189">
        <v>30405</v>
      </c>
      <c r="B67" s="204" t="s">
        <v>55</v>
      </c>
      <c r="C67" s="205">
        <f>Data!AC68</f>
        <v>16729</v>
      </c>
      <c r="D67" s="205">
        <f>Data!E68</f>
        <v>-21649</v>
      </c>
      <c r="E67" s="205">
        <f t="shared" si="0"/>
        <v>-38378</v>
      </c>
      <c r="F67" s="205">
        <f t="shared" si="1"/>
        <v>-16729</v>
      </c>
      <c r="G67" s="205">
        <f t="shared" si="2"/>
        <v>0</v>
      </c>
      <c r="H67" s="206">
        <f t="shared" si="3"/>
        <v>-21649</v>
      </c>
    </row>
    <row r="68" spans="1:8" x14ac:dyDescent="0.25">
      <c r="A68" s="187">
        <v>32405</v>
      </c>
      <c r="B68" s="207" t="s">
        <v>66</v>
      </c>
      <c r="C68" s="205">
        <f>Data!AC69</f>
        <v>11455</v>
      </c>
      <c r="D68" s="205">
        <f>Data!E69</f>
        <v>-14445</v>
      </c>
      <c r="E68" s="205">
        <f t="shared" ref="E68:E84" si="4">SUM(-C68+D68)</f>
        <v>-25900</v>
      </c>
      <c r="F68" s="205">
        <f t="shared" ref="F68:F84" si="5">-C68</f>
        <v>-11455</v>
      </c>
      <c r="G68" s="205">
        <f t="shared" ref="G68:G84" si="6">C68+F68</f>
        <v>0</v>
      </c>
      <c r="H68" s="206">
        <f t="shared" ref="H68:H84" si="7">D68</f>
        <v>-14445</v>
      </c>
    </row>
    <row r="69" spans="1:8" x14ac:dyDescent="0.25">
      <c r="A69" s="189">
        <v>35005</v>
      </c>
      <c r="B69" s="204" t="s">
        <v>81</v>
      </c>
      <c r="C69" s="205">
        <f>Data!AC70</f>
        <v>13484</v>
      </c>
      <c r="D69" s="205">
        <f>Data!E70</f>
        <v>-16177</v>
      </c>
      <c r="E69" s="205">
        <f t="shared" si="4"/>
        <v>-29661</v>
      </c>
      <c r="F69" s="205">
        <f t="shared" si="5"/>
        <v>-13484</v>
      </c>
      <c r="G69" s="205">
        <f t="shared" si="6"/>
        <v>0</v>
      </c>
      <c r="H69" s="206">
        <f t="shared" si="7"/>
        <v>-16177</v>
      </c>
    </row>
    <row r="70" spans="1:8" x14ac:dyDescent="0.25">
      <c r="A70" s="187">
        <v>38405</v>
      </c>
      <c r="B70" s="207" t="s">
        <v>105</v>
      </c>
      <c r="C70" s="205">
        <f>Data!AC71</f>
        <v>16455</v>
      </c>
      <c r="D70" s="205">
        <f>Data!E71</f>
        <v>-19301</v>
      </c>
      <c r="E70" s="205">
        <f t="shared" si="4"/>
        <v>-35756</v>
      </c>
      <c r="F70" s="205">
        <f t="shared" si="5"/>
        <v>-16455</v>
      </c>
      <c r="G70" s="205">
        <f t="shared" si="6"/>
        <v>0</v>
      </c>
      <c r="H70" s="206">
        <f t="shared" si="7"/>
        <v>-19301</v>
      </c>
    </row>
    <row r="71" spans="1:8" x14ac:dyDescent="0.25">
      <c r="A71" s="189">
        <v>38605</v>
      </c>
      <c r="B71" s="204" t="s">
        <v>106</v>
      </c>
      <c r="C71" s="205">
        <f>Data!AC72</f>
        <v>16577</v>
      </c>
      <c r="D71" s="205">
        <f>Data!E72</f>
        <v>-21270</v>
      </c>
      <c r="E71" s="205">
        <f t="shared" si="4"/>
        <v>-37847</v>
      </c>
      <c r="F71" s="205">
        <f t="shared" si="5"/>
        <v>-16577</v>
      </c>
      <c r="G71" s="205">
        <f t="shared" si="6"/>
        <v>0</v>
      </c>
      <c r="H71" s="206">
        <f t="shared" si="7"/>
        <v>-21270</v>
      </c>
    </row>
    <row r="72" spans="1:8" x14ac:dyDescent="0.25">
      <c r="A72" s="187">
        <v>32005</v>
      </c>
      <c r="B72" s="207" t="s">
        <v>64</v>
      </c>
      <c r="C72" s="205">
        <f>Data!AC73</f>
        <v>8468</v>
      </c>
      <c r="D72" s="205">
        <f>Data!E73</f>
        <v>-10283</v>
      </c>
      <c r="E72" s="205">
        <f t="shared" si="4"/>
        <v>-18751</v>
      </c>
      <c r="F72" s="205">
        <f t="shared" si="5"/>
        <v>-8468</v>
      </c>
      <c r="G72" s="205">
        <f t="shared" si="6"/>
        <v>0</v>
      </c>
      <c r="H72" s="206">
        <f t="shared" si="7"/>
        <v>-10283</v>
      </c>
    </row>
    <row r="73" spans="1:8" x14ac:dyDescent="0.25">
      <c r="A73" s="189">
        <v>39105</v>
      </c>
      <c r="B73" s="204" t="s">
        <v>107</v>
      </c>
      <c r="C73" s="205">
        <f>Data!AC74</f>
        <v>15372</v>
      </c>
      <c r="D73" s="205">
        <f>Data!E74</f>
        <v>-20938</v>
      </c>
      <c r="E73" s="205">
        <f t="shared" si="4"/>
        <v>-36310</v>
      </c>
      <c r="F73" s="205">
        <f t="shared" si="5"/>
        <v>-15372</v>
      </c>
      <c r="G73" s="205">
        <f t="shared" si="6"/>
        <v>0</v>
      </c>
      <c r="H73" s="206">
        <f t="shared" si="7"/>
        <v>-20938</v>
      </c>
    </row>
    <row r="74" spans="1:8" x14ac:dyDescent="0.25">
      <c r="A74" s="187">
        <v>39205</v>
      </c>
      <c r="B74" s="207" t="s">
        <v>108</v>
      </c>
      <c r="C74" s="205">
        <f>Data!AC75</f>
        <v>135632</v>
      </c>
      <c r="D74" s="205">
        <f>Data!E75</f>
        <v>-167995</v>
      </c>
      <c r="E74" s="205">
        <f t="shared" si="4"/>
        <v>-303627</v>
      </c>
      <c r="F74" s="205">
        <f t="shared" si="5"/>
        <v>-135632</v>
      </c>
      <c r="G74" s="205">
        <f t="shared" si="6"/>
        <v>0</v>
      </c>
      <c r="H74" s="206">
        <f t="shared" si="7"/>
        <v>-167995</v>
      </c>
    </row>
    <row r="75" spans="1:8" x14ac:dyDescent="0.25">
      <c r="A75" s="189">
        <v>39605</v>
      </c>
      <c r="B75" s="204" t="s">
        <v>109</v>
      </c>
      <c r="C75" s="205">
        <f>Data!AC76</f>
        <v>19865</v>
      </c>
      <c r="D75" s="205">
        <f>Data!E76</f>
        <v>-22857</v>
      </c>
      <c r="E75" s="205">
        <f t="shared" si="4"/>
        <v>-42722</v>
      </c>
      <c r="F75" s="205">
        <f t="shared" si="5"/>
        <v>-19865</v>
      </c>
      <c r="G75" s="205">
        <f t="shared" si="6"/>
        <v>0</v>
      </c>
      <c r="H75" s="206">
        <f t="shared" si="7"/>
        <v>-22857</v>
      </c>
    </row>
    <row r="76" spans="1:8" x14ac:dyDescent="0.25">
      <c r="A76" s="187">
        <v>31205</v>
      </c>
      <c r="B76" s="207" t="s">
        <v>60</v>
      </c>
      <c r="C76" s="205">
        <f>Data!AC77</f>
        <v>10423</v>
      </c>
      <c r="D76" s="205">
        <f>Data!E77</f>
        <v>-12206</v>
      </c>
      <c r="E76" s="205">
        <f t="shared" si="4"/>
        <v>-22629</v>
      </c>
      <c r="F76" s="205">
        <f t="shared" si="5"/>
        <v>-10423</v>
      </c>
      <c r="G76" s="205">
        <f t="shared" si="6"/>
        <v>0</v>
      </c>
      <c r="H76" s="206">
        <f t="shared" si="7"/>
        <v>-12206</v>
      </c>
    </row>
    <row r="77" spans="1:8" x14ac:dyDescent="0.25">
      <c r="A77" s="189">
        <v>39705</v>
      </c>
      <c r="B77" s="204" t="s">
        <v>110</v>
      </c>
      <c r="C77" s="205">
        <f>Data!AC78</f>
        <v>20349</v>
      </c>
      <c r="D77" s="205">
        <f>Data!E78</f>
        <v>-25014</v>
      </c>
      <c r="E77" s="205">
        <f t="shared" si="4"/>
        <v>-45363</v>
      </c>
      <c r="F77" s="205">
        <f t="shared" si="5"/>
        <v>-20349</v>
      </c>
      <c r="G77" s="205">
        <f t="shared" si="6"/>
        <v>0</v>
      </c>
      <c r="H77" s="206">
        <f t="shared" si="7"/>
        <v>-25014</v>
      </c>
    </row>
    <row r="78" spans="1:8" x14ac:dyDescent="0.25">
      <c r="A78" s="187">
        <v>39805</v>
      </c>
      <c r="B78" s="207" t="s">
        <v>111</v>
      </c>
      <c r="C78" s="205">
        <f>Data!AC79</f>
        <v>9771</v>
      </c>
      <c r="D78" s="205">
        <f>Data!E79</f>
        <v>-12788</v>
      </c>
      <c r="E78" s="205">
        <f t="shared" si="4"/>
        <v>-22559</v>
      </c>
      <c r="F78" s="205">
        <f t="shared" si="5"/>
        <v>-9771</v>
      </c>
      <c r="G78" s="205">
        <f t="shared" si="6"/>
        <v>0</v>
      </c>
      <c r="H78" s="206">
        <f t="shared" si="7"/>
        <v>-12788</v>
      </c>
    </row>
    <row r="79" spans="1:8" x14ac:dyDescent="0.25">
      <c r="A79" s="189">
        <v>11310</v>
      </c>
      <c r="B79" s="204" t="s">
        <v>112</v>
      </c>
      <c r="C79" s="205">
        <f>Data!AC80</f>
        <v>13133</v>
      </c>
      <c r="D79" s="205">
        <f>Data!E80</f>
        <v>-16657</v>
      </c>
      <c r="E79" s="205">
        <f t="shared" si="4"/>
        <v>-29790</v>
      </c>
      <c r="F79" s="205">
        <f t="shared" si="5"/>
        <v>-13133</v>
      </c>
      <c r="G79" s="205">
        <f t="shared" si="6"/>
        <v>0</v>
      </c>
      <c r="H79" s="206">
        <f t="shared" si="7"/>
        <v>-16657</v>
      </c>
    </row>
    <row r="80" spans="1:8" x14ac:dyDescent="0.25">
      <c r="A80" s="187">
        <v>14300.2</v>
      </c>
      <c r="B80" s="207" t="s">
        <v>163</v>
      </c>
      <c r="C80" s="205">
        <f>Data!AC81</f>
        <v>4729</v>
      </c>
      <c r="D80" s="205">
        <f>Data!E81</f>
        <v>-4903</v>
      </c>
      <c r="E80" s="205">
        <f t="shared" si="4"/>
        <v>-9632</v>
      </c>
      <c r="F80" s="205">
        <f t="shared" si="5"/>
        <v>-4729</v>
      </c>
      <c r="G80" s="205">
        <f t="shared" si="6"/>
        <v>0</v>
      </c>
      <c r="H80" s="206">
        <f t="shared" si="7"/>
        <v>-4903</v>
      </c>
    </row>
    <row r="81" spans="1:8" x14ac:dyDescent="0.25">
      <c r="A81" s="189">
        <v>21525</v>
      </c>
      <c r="B81" s="204" t="s">
        <v>244</v>
      </c>
      <c r="C81" s="205">
        <f>Data!AC82</f>
        <v>47833</v>
      </c>
      <c r="D81" s="205">
        <f>Data!E82</f>
        <v>-70340</v>
      </c>
      <c r="E81" s="205">
        <f t="shared" si="4"/>
        <v>-118173</v>
      </c>
      <c r="F81" s="205">
        <f t="shared" si="5"/>
        <v>-47833</v>
      </c>
      <c r="G81" s="205">
        <f t="shared" si="6"/>
        <v>0</v>
      </c>
      <c r="H81" s="206">
        <f t="shared" si="7"/>
        <v>-70340</v>
      </c>
    </row>
    <row r="82" spans="1:8" x14ac:dyDescent="0.25">
      <c r="A82" s="187">
        <v>21525.200000000001</v>
      </c>
      <c r="B82" s="207" t="s">
        <v>157</v>
      </c>
      <c r="C82" s="205">
        <f>Data!AC83</f>
        <v>3793</v>
      </c>
      <c r="D82" s="205">
        <f>Data!E83</f>
        <v>-1903</v>
      </c>
      <c r="E82" s="205">
        <f t="shared" si="4"/>
        <v>-5696</v>
      </c>
      <c r="F82" s="205">
        <f t="shared" si="5"/>
        <v>-3793</v>
      </c>
      <c r="G82" s="205">
        <f t="shared" si="6"/>
        <v>0</v>
      </c>
      <c r="H82" s="206">
        <f t="shared" si="7"/>
        <v>-1903</v>
      </c>
    </row>
    <row r="83" spans="1:8" x14ac:dyDescent="0.25">
      <c r="A83" s="189">
        <v>51000.2</v>
      </c>
      <c r="B83" s="204" t="s">
        <v>165</v>
      </c>
      <c r="C83" s="205">
        <f>Data!AC84</f>
        <v>755</v>
      </c>
      <c r="D83" s="205">
        <f>Data!E84</f>
        <v>-1373</v>
      </c>
      <c r="E83" s="205">
        <f t="shared" si="4"/>
        <v>-2128</v>
      </c>
      <c r="F83" s="205">
        <f t="shared" si="5"/>
        <v>-755</v>
      </c>
      <c r="G83" s="205">
        <f t="shared" si="6"/>
        <v>0</v>
      </c>
      <c r="H83" s="206">
        <f t="shared" si="7"/>
        <v>-1373</v>
      </c>
    </row>
    <row r="84" spans="1:8" x14ac:dyDescent="0.25">
      <c r="A84" s="187">
        <v>51000.3</v>
      </c>
      <c r="B84" s="207" t="s">
        <v>164</v>
      </c>
      <c r="C84" s="205">
        <f>Data!AC85</f>
        <v>23202</v>
      </c>
      <c r="D84" s="205">
        <f>Data!E85</f>
        <v>-30924</v>
      </c>
      <c r="E84" s="205">
        <f t="shared" si="4"/>
        <v>-54126</v>
      </c>
      <c r="F84" s="205">
        <f t="shared" si="5"/>
        <v>-23202</v>
      </c>
      <c r="G84" s="205">
        <f t="shared" si="6"/>
        <v>0</v>
      </c>
      <c r="H84" s="206">
        <f t="shared" si="7"/>
        <v>-30924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f1a921d8-526c-43e3-8a93-f9bf9ad79650" xsi:nil="true"/>
    <lcf76f155ced4ddcb4097134ff3c332f xmlns="3ec2570d-002d-43d9-b4d8-cd927734fd5c">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28DAD092CE268B4A9CFCAE20B18605CD" ma:contentTypeVersion="13" ma:contentTypeDescription="Create a new document." ma:contentTypeScope="" ma:versionID="816be3f1d84d830574610c903672ebdf">
  <xsd:schema xmlns:xsd="http://www.w3.org/2001/XMLSchema" xmlns:xs="http://www.w3.org/2001/XMLSchema" xmlns:p="http://schemas.microsoft.com/office/2006/metadata/properties" xmlns:ns2="3ec2570d-002d-43d9-b4d8-cd927734fd5c" xmlns:ns3="f1a921d8-526c-43e3-8a93-f9bf9ad79650" targetNamespace="http://schemas.microsoft.com/office/2006/metadata/properties" ma:root="true" ma:fieldsID="9dcbd1f1d7f7020188508df2d0d28f0b" ns2:_="" ns3:_="">
    <xsd:import namespace="3ec2570d-002d-43d9-b4d8-cd927734fd5c"/>
    <xsd:import namespace="f1a921d8-526c-43e3-8a93-f9bf9ad7965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ec2570d-002d-43d9-b4d8-cd927734fd5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d73cfa9a-e889-43e5-9e7e-099e1654cb8f"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1a921d8-526c-43e3-8a93-f9bf9ad79650"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5d7866d6-2ba6-4cf9-bf73-e51f30d4693c}" ma:internalName="TaxCatchAll" ma:showField="CatchAllData" ma:web="f1a921d8-526c-43e3-8a93-f9bf9ad7965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D731D31-A627-4EC4-A059-3CC349BA0D7D}">
  <ds:schemaRefs>
    <ds:schemaRef ds:uri="http://schemas.microsoft.com/sharepoint/v3/contenttype/forms"/>
  </ds:schemaRefs>
</ds:datastoreItem>
</file>

<file path=customXml/itemProps2.xml><?xml version="1.0" encoding="utf-8"?>
<ds:datastoreItem xmlns:ds="http://schemas.openxmlformats.org/officeDocument/2006/customXml" ds:itemID="{40650DA9-116D-4D49-ABF6-7E1BD290A1D1}">
  <ds:schemaRefs>
    <ds:schemaRef ds:uri="http://purl.org/dc/terms/"/>
    <ds:schemaRef ds:uri="http://schemas.microsoft.com/office/2006/documentManagement/types"/>
    <ds:schemaRef ds:uri="http://www.w3.org/XML/1998/namespace"/>
    <ds:schemaRef ds:uri="http://schemas.microsoft.com/office/infopath/2007/PartnerControls"/>
    <ds:schemaRef ds:uri="http://schemas.microsoft.com/office/2006/metadata/properties"/>
    <ds:schemaRef ds:uri="http://purl.org/dc/dcmitype/"/>
    <ds:schemaRef ds:uri="http://purl.org/dc/elements/1.1/"/>
    <ds:schemaRef ds:uri="http://schemas.openxmlformats.org/package/2006/metadata/core-properties"/>
    <ds:schemaRef ds:uri="0b4a3b16-6ae0-4b7b-80fe-33859790a57c"/>
    <ds:schemaRef ds:uri="97e6a39a-fd89-4aa6-b0ff-8075d0b976bb"/>
    <ds:schemaRef ds:uri="f1a921d8-526c-43e3-8a93-f9bf9ad79650"/>
    <ds:schemaRef ds:uri="3ec2570d-002d-43d9-b4d8-cd927734fd5c"/>
  </ds:schemaRefs>
</ds:datastoreItem>
</file>

<file path=customXml/itemProps3.xml><?xml version="1.0" encoding="utf-8"?>
<ds:datastoreItem xmlns:ds="http://schemas.openxmlformats.org/officeDocument/2006/customXml" ds:itemID="{0FFEB1A5-9B3D-47AC-ABC0-3AAB712F73D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ec2570d-002d-43d9-b4d8-cd927734fd5c"/>
    <ds:schemaRef ds:uri="f1a921d8-526c-43e3-8a93-f9bf9ad7965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10</vt:i4>
      </vt:variant>
    </vt:vector>
  </HeadingPairs>
  <TitlesOfParts>
    <vt:vector size="20" baseType="lpstr">
      <vt:lpstr>Info</vt:lpstr>
      <vt:lpstr>Detail</vt:lpstr>
      <vt:lpstr>Summary</vt:lpstr>
      <vt:lpstr>Disclosures</vt:lpstr>
      <vt:lpstr>Data</vt:lpstr>
      <vt:lpstr>ER Contributions</vt:lpstr>
      <vt:lpstr>75 - Summary Exhibit</vt:lpstr>
      <vt:lpstr>75- Deferred Amortization</vt:lpstr>
      <vt:lpstr>NOPEB asset change</vt:lpstr>
      <vt:lpstr>CU_DIPNCamts</vt:lpstr>
      <vt:lpstr>'75 - Summary Exhibit'!Print_Area</vt:lpstr>
      <vt:lpstr>'75- Deferred Amortization'!Print_Area</vt:lpstr>
      <vt:lpstr>Data!Print_Area</vt:lpstr>
      <vt:lpstr>Detail!Print_Area</vt:lpstr>
      <vt:lpstr>Disclosures!Print_Area</vt:lpstr>
      <vt:lpstr>'ER Contributions'!Print_Area</vt:lpstr>
      <vt:lpstr>Summary!Print_Area</vt:lpstr>
      <vt:lpstr>'75- Deferred Amortization'!Print_Titles</vt:lpstr>
      <vt:lpstr>Data!Print_Titles</vt:lpstr>
      <vt:lpstr>Disclosures!Print_Titles</vt:lpstr>
    </vt:vector>
  </TitlesOfParts>
  <Company>State of North Carolina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Clayton Murphy</dc:creator>
  <cp:lastModifiedBy>Virginia Sisson</cp:lastModifiedBy>
  <cp:lastPrinted>2023-05-03T17:41:48Z</cp:lastPrinted>
  <dcterms:created xsi:type="dcterms:W3CDTF">2007-09-03T15:01:56Z</dcterms:created>
  <dcterms:modified xsi:type="dcterms:W3CDTF">2025-06-13T15:21:48Z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0x01010028DAD092CE268B4A9CFCAE20B18605CD</vt:lpwstr>
  </property>
  <property fmtid="{D5CDD505-2E9C-101B-9397-08002B2CF9AE}" pid="5" name="Order">
    <vt:r8>15515400</vt:r8>
  </property>
  <property fmtid="{D5CDD505-2E9C-101B-9397-08002B2CF9AE}" pid="6" name="MSIP_Label_defa4170-0d19-0005-0004-bc88714345d2_Enabled">
    <vt:lpwstr>true</vt:lpwstr>
  </property>
  <property fmtid="{D5CDD505-2E9C-101B-9397-08002B2CF9AE}" pid="7" name="MSIP_Label_defa4170-0d19-0005-0004-bc88714345d2_SetDate">
    <vt:lpwstr>2024-04-30T15:31:21Z</vt:lpwstr>
  </property>
  <property fmtid="{D5CDD505-2E9C-101B-9397-08002B2CF9AE}" pid="8" name="MSIP_Label_defa4170-0d19-0005-0004-bc88714345d2_Method">
    <vt:lpwstr>Standard</vt:lpwstr>
  </property>
  <property fmtid="{D5CDD505-2E9C-101B-9397-08002B2CF9AE}" pid="9" name="MSIP_Label_defa4170-0d19-0005-0004-bc88714345d2_Name">
    <vt:lpwstr>defa4170-0d19-0005-0004-bc88714345d2</vt:lpwstr>
  </property>
  <property fmtid="{D5CDD505-2E9C-101B-9397-08002B2CF9AE}" pid="10" name="MSIP_Label_defa4170-0d19-0005-0004-bc88714345d2_SiteId">
    <vt:lpwstr>a1f43f48-54fe-433f-9378-968b45bc6665</vt:lpwstr>
  </property>
  <property fmtid="{D5CDD505-2E9C-101B-9397-08002B2CF9AE}" pid="11" name="MSIP_Label_defa4170-0d19-0005-0004-bc88714345d2_ActionId">
    <vt:lpwstr>f458e089-0283-4d87-8a83-810de911af26</vt:lpwstr>
  </property>
  <property fmtid="{D5CDD505-2E9C-101B-9397-08002B2CF9AE}" pid="12" name="MSIP_Label_defa4170-0d19-0005-0004-bc88714345d2_ContentBits">
    <vt:lpwstr>0</vt:lpwstr>
  </property>
  <property fmtid="{D5CDD505-2E9C-101B-9397-08002B2CF9AE}" pid="13" name="MediaServiceImageTags">
    <vt:lpwstr/>
  </property>
</Properties>
</file>