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ncosc.sharepoint.com/sites/Mountable_K_Drive/SASD/SASD/25CAFR/Packages/FY 2025/"/>
    </mc:Choice>
  </mc:AlternateContent>
  <xr:revisionPtr revIDLastSave="9" documentId="13_ncr:1_{6898053D-593C-43E5-880D-ABC1B2B26A54}" xr6:coauthVersionLast="47" xr6:coauthVersionMax="47" xr10:uidLastSave="{0462EA34-BEB8-4F17-BABB-7A0BBEDA3584}"/>
  <bookViews>
    <workbookView xWindow="28680" yWindow="-120" windowWidth="29040" windowHeight="15720" tabRatio="739" xr2:uid="{00000000-000D-0000-FFFF-FFFF00000000}"/>
  </bookViews>
  <sheets>
    <sheet name=" Use Stmt" sheetId="6" r:id="rId1"/>
    <sheet name="Info" sheetId="7" r:id="rId2"/>
    <sheet name="Package Updates" sheetId="12" r:id="rId3"/>
    <sheet name="Exh A" sheetId="1" r:id="rId4"/>
    <sheet name="Exh B" sheetId="2" r:id="rId5"/>
    <sheet name="Adjustments" sheetId="4" r:id="rId6"/>
    <sheet name="Exh D" sheetId="3" r:id="rId7"/>
    <sheet name="Exh E" sheetId="5" r:id="rId8"/>
    <sheet name="Restatements" sheetId="13" r:id="rId9"/>
    <sheet name="Restatement GASB 101 example" sheetId="15" r:id="rId10"/>
    <sheet name="Comments" sheetId="8" r:id="rId11"/>
    <sheet name="Net Assets" sheetId="9" r:id="rId12"/>
    <sheet name="PriorYrExhD" sheetId="10" r:id="rId13"/>
    <sheet name="PriorYrExhE" sheetId="11" r:id="rId14"/>
    <sheet name="Notes" sheetId="14" state="hidden" r:id="rId15"/>
  </sheets>
  <definedNames>
    <definedName name="_OS1">#REF!</definedName>
    <definedName name="_OS2">#REF!</definedName>
    <definedName name="_OS3">#REF!</definedName>
    <definedName name="_OS4">#REF!</definedName>
    <definedName name="_OS5">#REF!</definedName>
    <definedName name="_OU1">#REF!</definedName>
    <definedName name="_OU2">#REF!</definedName>
    <definedName name="_OU3">#REF!</definedName>
    <definedName name="_OU4">#REF!</definedName>
    <definedName name="_OU5">#REF!</definedName>
    <definedName name="_OU6">#REF!</definedName>
    <definedName name="_OU7">#REF!</definedName>
    <definedName name="_OU8">#REF!</definedName>
    <definedName name="_PAY1">#REF!</definedName>
    <definedName name="_PAY2">#REF!</definedName>
    <definedName name="_PAY3">#REF!</definedName>
    <definedName name="_REC1">#REF!</definedName>
    <definedName name="_REC2">#REF!</definedName>
    <definedName name="_REC3">#REF!</definedName>
    <definedName name="AVL">#REF!</definedName>
    <definedName name="BP">#REF!</definedName>
    <definedName name="CCE">#REF!</definedName>
    <definedName name="CLP">#REF!</definedName>
    <definedName name="DA">#REF!</definedName>
    <definedName name="DP">#REF!</definedName>
    <definedName name="DR">#REF!</definedName>
    <definedName name="EquityData">'Net Assets'!$A$4:$D$64</definedName>
    <definedName name="EquityDataRow">'Net Assets'!$A$4:$A$64</definedName>
    <definedName name="ExhDData">'Exh D'!$A:$E</definedName>
    <definedName name="ExhEData">'Exh E'!$A:$E</definedName>
    <definedName name="FASB_ADJ">Adjustments!$A$9:$N$78</definedName>
    <definedName name="FASB_BS">'Exh A'!$A$9:$N$45</definedName>
    <definedName name="FASB_IS">'Exh B'!$A$9:$N$22</definedName>
    <definedName name="IFP">#REF!</definedName>
    <definedName name="IFR">#REF!</definedName>
    <definedName name="IMT">#REF!</definedName>
    <definedName name="IP">#REF!</definedName>
    <definedName name="IVS">#REF!</definedName>
    <definedName name="NI">#REF!</definedName>
    <definedName name="NP">#REF!</definedName>
    <definedName name="Number">'Net Assets'!$A$4:$A$62</definedName>
    <definedName name="PI">#REF!</definedName>
    <definedName name="PMLR">#REF!</definedName>
    <definedName name="PPE">#REF!</definedName>
    <definedName name="_xlnm.Print_Area" localSheetId="5">Adjustments!$A$7:$N$130</definedName>
    <definedName name="_xlnm.Print_Area" localSheetId="3">'Exh A'!$A$1:$N$53</definedName>
    <definedName name="_xlnm.Print_Area" localSheetId="4">'Exh B'!$A$1:$N$31</definedName>
    <definedName name="_xlnm.Print_Area" localSheetId="6">'Exh D'!$A$1:$J$44</definedName>
    <definedName name="_xlnm.Print_Area" localSheetId="2">'Package Updates'!$A$1:$E$33</definedName>
    <definedName name="_xlnm.Print_Area" localSheetId="12">PriorYrExhD!$A$1:$BL$42</definedName>
    <definedName name="_xlnm.Print_Area" localSheetId="8">Restatements!$A$1:$H$65</definedName>
    <definedName name="_xlnm.Print_Titles" localSheetId="5">Adjustments!$1:$6</definedName>
    <definedName name="_xlnm.Print_Titles" localSheetId="3">'Exh A'!$1:$3</definedName>
    <definedName name="_xlnm.Print_Titles" localSheetId="12">PriorYrExhD!$C:$C</definedName>
    <definedName name="_xlnm.Print_Titles" localSheetId="13">PriorYrExhE!$C:$C</definedName>
    <definedName name="PSB">#REF!</definedName>
    <definedName name="PSI">#REF!</definedName>
    <definedName name="SF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1" l="1"/>
  <c r="E64" i="13"/>
  <c r="E43" i="13"/>
  <c r="C56" i="15" l="1"/>
  <c r="F22" i="15"/>
  <c r="E65" i="15"/>
  <c r="E64" i="15"/>
  <c r="F64" i="15" s="1"/>
  <c r="R63" i="15"/>
  <c r="Q63" i="15"/>
  <c r="P63" i="15"/>
  <c r="O63" i="15"/>
  <c r="N63" i="15"/>
  <c r="L63" i="15"/>
  <c r="K63" i="15"/>
  <c r="F63" i="15"/>
  <c r="R61" i="15"/>
  <c r="Q61" i="15"/>
  <c r="P61" i="15"/>
  <c r="O61" i="15"/>
  <c r="N61" i="15"/>
  <c r="L61" i="15"/>
  <c r="K61" i="15"/>
  <c r="J61" i="15" s="1"/>
  <c r="F61" i="15"/>
  <c r="C61" i="15"/>
  <c r="R60" i="15"/>
  <c r="Q60" i="15"/>
  <c r="P60" i="15"/>
  <c r="O60" i="15"/>
  <c r="N60" i="15"/>
  <c r="L60" i="15"/>
  <c r="K60" i="15"/>
  <c r="J60" i="15" s="1"/>
  <c r="F60" i="15"/>
  <c r="C60" i="15"/>
  <c r="R59" i="15"/>
  <c r="Q59" i="15"/>
  <c r="P59" i="15"/>
  <c r="O59" i="15"/>
  <c r="N59" i="15"/>
  <c r="L59" i="15"/>
  <c r="K59" i="15"/>
  <c r="J59" i="15"/>
  <c r="F59" i="15"/>
  <c r="C59" i="15"/>
  <c r="R58" i="15"/>
  <c r="Q58" i="15"/>
  <c r="P58" i="15"/>
  <c r="O58" i="15"/>
  <c r="N58" i="15"/>
  <c r="L58" i="15"/>
  <c r="K58" i="15"/>
  <c r="J58" i="15" s="1"/>
  <c r="F58" i="15"/>
  <c r="C58" i="15"/>
  <c r="R57" i="15"/>
  <c r="Q57" i="15"/>
  <c r="P57" i="15"/>
  <c r="O57" i="15"/>
  <c r="N57" i="15"/>
  <c r="L57" i="15"/>
  <c r="J57" i="15" s="1"/>
  <c r="K57" i="15"/>
  <c r="F57" i="15"/>
  <c r="C57" i="15"/>
  <c r="R56" i="15"/>
  <c r="Q56" i="15"/>
  <c r="P56" i="15"/>
  <c r="O56" i="15"/>
  <c r="N56" i="15"/>
  <c r="L56" i="15"/>
  <c r="K56" i="15"/>
  <c r="F56" i="15"/>
  <c r="R55" i="15"/>
  <c r="Q55" i="15"/>
  <c r="P55" i="15"/>
  <c r="O55" i="15"/>
  <c r="N55" i="15"/>
  <c r="L55" i="15"/>
  <c r="K55" i="15"/>
  <c r="J55" i="15" s="1"/>
  <c r="F55" i="15"/>
  <c r="C55" i="15"/>
  <c r="R54" i="15"/>
  <c r="Q54" i="15"/>
  <c r="P54" i="15"/>
  <c r="O54" i="15"/>
  <c r="N54" i="15"/>
  <c r="L54" i="15"/>
  <c r="K54" i="15"/>
  <c r="J54" i="15" s="1"/>
  <c r="F54" i="15"/>
  <c r="C54" i="15"/>
  <c r="R52" i="15"/>
  <c r="Q52" i="15"/>
  <c r="P52" i="15"/>
  <c r="O52" i="15"/>
  <c r="N52" i="15"/>
  <c r="L52" i="15"/>
  <c r="K52" i="15"/>
  <c r="J52" i="15"/>
  <c r="F52" i="15"/>
  <c r="C52" i="15"/>
  <c r="R51" i="15"/>
  <c r="Q51" i="15"/>
  <c r="P51" i="15"/>
  <c r="O51" i="15"/>
  <c r="N51" i="15"/>
  <c r="L51" i="15"/>
  <c r="K51" i="15"/>
  <c r="F51" i="15"/>
  <c r="C51" i="15"/>
  <c r="R50" i="15"/>
  <c r="Q50" i="15"/>
  <c r="P50" i="15"/>
  <c r="O50" i="15"/>
  <c r="N50" i="15"/>
  <c r="L50" i="15"/>
  <c r="K50" i="15"/>
  <c r="J50" i="15"/>
  <c r="F50" i="15"/>
  <c r="C50" i="15"/>
  <c r="R49" i="15"/>
  <c r="Q49" i="15"/>
  <c r="P49" i="15"/>
  <c r="O49" i="15"/>
  <c r="N49" i="15"/>
  <c r="L49" i="15"/>
  <c r="K49" i="15"/>
  <c r="J49" i="15" s="1"/>
  <c r="F49" i="15"/>
  <c r="C49" i="15"/>
  <c r="R48" i="15"/>
  <c r="Q48" i="15"/>
  <c r="P48" i="15"/>
  <c r="O48" i="15"/>
  <c r="N48" i="15"/>
  <c r="L48" i="15"/>
  <c r="K48" i="15"/>
  <c r="J48" i="15"/>
  <c r="F48" i="15"/>
  <c r="C48" i="15"/>
  <c r="R47" i="15"/>
  <c r="Q47" i="15"/>
  <c r="P47" i="15"/>
  <c r="O47" i="15"/>
  <c r="N47" i="15"/>
  <c r="L47" i="15"/>
  <c r="K47" i="15"/>
  <c r="J47" i="15" s="1"/>
  <c r="F47" i="15"/>
  <c r="C47" i="15"/>
  <c r="R46" i="15"/>
  <c r="Q46" i="15"/>
  <c r="P46" i="15"/>
  <c r="O46" i="15"/>
  <c r="N46" i="15"/>
  <c r="L46" i="15"/>
  <c r="J46" i="15" s="1"/>
  <c r="K46" i="15"/>
  <c r="F46" i="15"/>
  <c r="C46" i="15"/>
  <c r="R45" i="15"/>
  <c r="Q45" i="15"/>
  <c r="P45" i="15"/>
  <c r="O45" i="15"/>
  <c r="N45" i="15"/>
  <c r="L45" i="15"/>
  <c r="K45" i="15"/>
  <c r="J45" i="15" s="1"/>
  <c r="F45" i="15"/>
  <c r="C45" i="15"/>
  <c r="E43" i="15"/>
  <c r="F43" i="15" s="1"/>
  <c r="R42" i="15"/>
  <c r="Q42" i="15"/>
  <c r="P42" i="15"/>
  <c r="O42" i="15"/>
  <c r="N42" i="15"/>
  <c r="L42" i="15"/>
  <c r="J42" i="15" s="1"/>
  <c r="K42" i="15"/>
  <c r="F42" i="15"/>
  <c r="C42" i="15"/>
  <c r="R41" i="15"/>
  <c r="Q41" i="15"/>
  <c r="P41" i="15"/>
  <c r="O41" i="15"/>
  <c r="N41" i="15"/>
  <c r="L41" i="15"/>
  <c r="K41" i="15"/>
  <c r="J41" i="15"/>
  <c r="F41" i="15"/>
  <c r="C41" i="15"/>
  <c r="R40" i="15"/>
  <c r="Q40" i="15"/>
  <c r="P40" i="15"/>
  <c r="O40" i="15"/>
  <c r="N40" i="15"/>
  <c r="L40" i="15"/>
  <c r="J40" i="15" s="1"/>
  <c r="K40" i="15"/>
  <c r="F40" i="15"/>
  <c r="C40" i="15"/>
  <c r="R39" i="15"/>
  <c r="Q39" i="15"/>
  <c r="P39" i="15"/>
  <c r="O39" i="15"/>
  <c r="N39" i="15"/>
  <c r="L39" i="15"/>
  <c r="K39" i="15"/>
  <c r="J39" i="15"/>
  <c r="F39" i="15"/>
  <c r="C39" i="15"/>
  <c r="R38" i="15"/>
  <c r="Q38" i="15"/>
  <c r="P38" i="15"/>
  <c r="O38" i="15"/>
  <c r="N38" i="15"/>
  <c r="L38" i="15"/>
  <c r="J38" i="15" s="1"/>
  <c r="K38" i="15"/>
  <c r="F38" i="15"/>
  <c r="C38" i="15"/>
  <c r="R37" i="15"/>
  <c r="Q37" i="15"/>
  <c r="P37" i="15"/>
  <c r="O37" i="15"/>
  <c r="N37" i="15"/>
  <c r="L37" i="15"/>
  <c r="K37" i="15"/>
  <c r="J37" i="15"/>
  <c r="F37" i="15"/>
  <c r="C37" i="15"/>
  <c r="R36" i="15"/>
  <c r="Q36" i="15"/>
  <c r="P36" i="15"/>
  <c r="O36" i="15"/>
  <c r="N36" i="15"/>
  <c r="L36" i="15"/>
  <c r="J36" i="15" s="1"/>
  <c r="K36" i="15"/>
  <c r="F36" i="15"/>
  <c r="C36" i="15"/>
  <c r="R35" i="15"/>
  <c r="Q35" i="15"/>
  <c r="P35" i="15"/>
  <c r="O35" i="15"/>
  <c r="N35" i="15"/>
  <c r="L35" i="15"/>
  <c r="K35" i="15"/>
  <c r="J35" i="15"/>
  <c r="F35" i="15"/>
  <c r="C35" i="15"/>
  <c r="R33" i="15"/>
  <c r="Q33" i="15"/>
  <c r="P33" i="15"/>
  <c r="O33" i="15"/>
  <c r="N33" i="15"/>
  <c r="L33" i="15"/>
  <c r="J33" i="15" s="1"/>
  <c r="K33" i="15"/>
  <c r="F33" i="15"/>
  <c r="C33" i="15"/>
  <c r="R32" i="15"/>
  <c r="Q32" i="15"/>
  <c r="P32" i="15"/>
  <c r="O32" i="15"/>
  <c r="N32" i="15"/>
  <c r="L32" i="15"/>
  <c r="K32" i="15"/>
  <c r="J32" i="15"/>
  <c r="F32" i="15"/>
  <c r="C32" i="15"/>
  <c r="R31" i="15"/>
  <c r="Q31" i="15"/>
  <c r="P31" i="15"/>
  <c r="O31" i="15"/>
  <c r="N31" i="15"/>
  <c r="L31" i="15"/>
  <c r="J31" i="15" s="1"/>
  <c r="K31" i="15"/>
  <c r="F31" i="15"/>
  <c r="C31" i="15"/>
  <c r="R30" i="15"/>
  <c r="Q30" i="15"/>
  <c r="P30" i="15"/>
  <c r="O30" i="15"/>
  <c r="N30" i="15"/>
  <c r="L30" i="15"/>
  <c r="K30" i="15"/>
  <c r="J30" i="15"/>
  <c r="F30" i="15"/>
  <c r="C30" i="15"/>
  <c r="R29" i="15"/>
  <c r="Q29" i="15"/>
  <c r="P29" i="15"/>
  <c r="O29" i="15"/>
  <c r="N29" i="15"/>
  <c r="L29" i="15"/>
  <c r="J29" i="15" s="1"/>
  <c r="K29" i="15"/>
  <c r="F29" i="15"/>
  <c r="C29" i="15"/>
  <c r="R28" i="15"/>
  <c r="Q28" i="15"/>
  <c r="P28" i="15"/>
  <c r="O28" i="15"/>
  <c r="N28" i="15"/>
  <c r="L28" i="15"/>
  <c r="K28" i="15"/>
  <c r="J28" i="15"/>
  <c r="F28" i="15"/>
  <c r="C28" i="15"/>
  <c r="R27" i="15"/>
  <c r="Q27" i="15"/>
  <c r="P27" i="15"/>
  <c r="O27" i="15"/>
  <c r="N27" i="15"/>
  <c r="L27" i="15"/>
  <c r="J27" i="15" s="1"/>
  <c r="K27" i="15"/>
  <c r="F27" i="15"/>
  <c r="C27" i="15"/>
  <c r="R26" i="15"/>
  <c r="Q26" i="15"/>
  <c r="P26" i="15"/>
  <c r="O26" i="15"/>
  <c r="N26" i="15"/>
  <c r="L26" i="15"/>
  <c r="K26" i="15"/>
  <c r="J26" i="15"/>
  <c r="F26" i="15"/>
  <c r="C26" i="15"/>
  <c r="E23" i="15"/>
  <c r="D23" i="15"/>
  <c r="R22" i="15"/>
  <c r="Q22" i="15"/>
  <c r="P22" i="15"/>
  <c r="O22" i="15"/>
  <c r="N22" i="15"/>
  <c r="L22" i="15"/>
  <c r="K22" i="15"/>
  <c r="R21" i="15"/>
  <c r="Q21" i="15"/>
  <c r="P21" i="15"/>
  <c r="O21" i="15"/>
  <c r="N21" i="15"/>
  <c r="L21" i="15"/>
  <c r="K21" i="15"/>
  <c r="J21" i="15"/>
  <c r="F21" i="15"/>
  <c r="R20" i="15"/>
  <c r="Q20" i="15"/>
  <c r="P20" i="15"/>
  <c r="O20" i="15"/>
  <c r="N20" i="15"/>
  <c r="L20" i="15"/>
  <c r="K20" i="15"/>
  <c r="J20" i="15" s="1"/>
  <c r="F20" i="15"/>
  <c r="R19" i="15"/>
  <c r="Q19" i="15"/>
  <c r="Q66" i="15" s="1"/>
  <c r="P19" i="15"/>
  <c r="O19" i="15"/>
  <c r="N19" i="15"/>
  <c r="L19" i="15"/>
  <c r="J19" i="15" s="1"/>
  <c r="K19" i="15"/>
  <c r="F19" i="15"/>
  <c r="L69" i="4"/>
  <c r="L70" i="4" s="1"/>
  <c r="J69" i="4"/>
  <c r="J70" i="4" s="1"/>
  <c r="H69" i="4"/>
  <c r="H70" i="4" s="1"/>
  <c r="F69" i="4"/>
  <c r="F70" i="4" s="1"/>
  <c r="D69" i="4"/>
  <c r="D70" i="4" s="1"/>
  <c r="N68" i="4"/>
  <c r="N67" i="4"/>
  <c r="E47" i="14"/>
  <c r="E46" i="14"/>
  <c r="E69" i="15" l="1"/>
  <c r="F69" i="15" s="1"/>
  <c r="E67" i="15" s="1"/>
  <c r="J63" i="15"/>
  <c r="J56" i="15"/>
  <c r="J51" i="15"/>
  <c r="R66" i="15"/>
  <c r="H66" i="15" s="1"/>
  <c r="L66" i="15"/>
  <c r="N66" i="15"/>
  <c r="O66" i="15"/>
  <c r="P66" i="15"/>
  <c r="Q67" i="15" s="1"/>
  <c r="G66" i="15" s="1"/>
  <c r="K66" i="15"/>
  <c r="L67" i="15" s="1"/>
  <c r="D66" i="15" s="1"/>
  <c r="J22" i="15"/>
  <c r="E68" i="15"/>
  <c r="E66" i="15" s="1"/>
  <c r="N69" i="4"/>
  <c r="O67" i="15" l="1"/>
  <c r="B66" i="15" s="1"/>
  <c r="D13" i="3" l="1"/>
  <c r="N22" i="1"/>
  <c r="F21" i="13"/>
  <c r="R63" i="13"/>
  <c r="Q63" i="13"/>
  <c r="P63" i="13"/>
  <c r="O63" i="13"/>
  <c r="N63" i="13"/>
  <c r="L63" i="13"/>
  <c r="K63" i="13"/>
  <c r="J63" i="13"/>
  <c r="R61" i="13"/>
  <c r="Q61" i="13"/>
  <c r="P61" i="13"/>
  <c r="O61" i="13"/>
  <c r="N61" i="13"/>
  <c r="L61" i="13"/>
  <c r="K61" i="13"/>
  <c r="J61" i="13" s="1"/>
  <c r="R60" i="13"/>
  <c r="Q60" i="13"/>
  <c r="P60" i="13"/>
  <c r="O60" i="13"/>
  <c r="N60" i="13"/>
  <c r="L60" i="13"/>
  <c r="J60" i="13" s="1"/>
  <c r="K60" i="13"/>
  <c r="R59" i="13"/>
  <c r="Q59" i="13"/>
  <c r="P59" i="13"/>
  <c r="O59" i="13"/>
  <c r="N59" i="13"/>
  <c r="L59" i="13"/>
  <c r="K59" i="13"/>
  <c r="R58" i="13"/>
  <c r="Q58" i="13"/>
  <c r="P58" i="13"/>
  <c r="O58" i="13"/>
  <c r="N58" i="13"/>
  <c r="L58" i="13"/>
  <c r="K58" i="13"/>
  <c r="J58" i="13"/>
  <c r="R57" i="13"/>
  <c r="Q57" i="13"/>
  <c r="P57" i="13"/>
  <c r="O57" i="13"/>
  <c r="N57" i="13"/>
  <c r="L57" i="13"/>
  <c r="K57" i="13"/>
  <c r="R56" i="13"/>
  <c r="Q56" i="13"/>
  <c r="P56" i="13"/>
  <c r="O56" i="13"/>
  <c r="N56" i="13"/>
  <c r="L56" i="13"/>
  <c r="K56" i="13"/>
  <c r="J56" i="13"/>
  <c r="R55" i="13"/>
  <c r="Q55" i="13"/>
  <c r="P55" i="13"/>
  <c r="O55" i="13"/>
  <c r="N55" i="13"/>
  <c r="L55" i="13"/>
  <c r="K55" i="13"/>
  <c r="R54" i="13"/>
  <c r="Q54" i="13"/>
  <c r="P54" i="13"/>
  <c r="O54" i="13"/>
  <c r="N54" i="13"/>
  <c r="L54" i="13"/>
  <c r="K54" i="13"/>
  <c r="J54" i="13"/>
  <c r="R52" i="13"/>
  <c r="Q52" i="13"/>
  <c r="P52" i="13"/>
  <c r="O52" i="13"/>
  <c r="N52" i="13"/>
  <c r="L52" i="13"/>
  <c r="K52" i="13"/>
  <c r="R51" i="13"/>
  <c r="Q51" i="13"/>
  <c r="P51" i="13"/>
  <c r="O51" i="13"/>
  <c r="N51" i="13"/>
  <c r="L51" i="13"/>
  <c r="J51" i="13" s="1"/>
  <c r="K51" i="13"/>
  <c r="R50" i="13"/>
  <c r="Q50" i="13"/>
  <c r="P50" i="13"/>
  <c r="O50" i="13"/>
  <c r="N50" i="13"/>
  <c r="L50" i="13"/>
  <c r="K50" i="13"/>
  <c r="R49" i="13"/>
  <c r="Q49" i="13"/>
  <c r="P49" i="13"/>
  <c r="O49" i="13"/>
  <c r="N49" i="13"/>
  <c r="L49" i="13"/>
  <c r="K49" i="13"/>
  <c r="J49" i="13"/>
  <c r="R48" i="13"/>
  <c r="Q48" i="13"/>
  <c r="P48" i="13"/>
  <c r="O48" i="13"/>
  <c r="N48" i="13"/>
  <c r="L48" i="13"/>
  <c r="K48" i="13"/>
  <c r="R47" i="13"/>
  <c r="Q47" i="13"/>
  <c r="P47" i="13"/>
  <c r="O47" i="13"/>
  <c r="N47" i="13"/>
  <c r="L47" i="13"/>
  <c r="K47" i="13"/>
  <c r="J47" i="13"/>
  <c r="R46" i="13"/>
  <c r="Q46" i="13"/>
  <c r="P46" i="13"/>
  <c r="O46" i="13"/>
  <c r="N46" i="13"/>
  <c r="L46" i="13"/>
  <c r="K46" i="13"/>
  <c r="R45" i="13"/>
  <c r="Q45" i="13"/>
  <c r="P45" i="13"/>
  <c r="O45" i="13"/>
  <c r="N45" i="13"/>
  <c r="L45" i="13"/>
  <c r="K45" i="13"/>
  <c r="J45" i="13"/>
  <c r="R42" i="13"/>
  <c r="Q42" i="13"/>
  <c r="P42" i="13"/>
  <c r="O42" i="13"/>
  <c r="N42" i="13"/>
  <c r="L42" i="13"/>
  <c r="K42" i="13"/>
  <c r="R41" i="13"/>
  <c r="Q41" i="13"/>
  <c r="P41" i="13"/>
  <c r="O41" i="13"/>
  <c r="N41" i="13"/>
  <c r="L41" i="13"/>
  <c r="J41" i="13" s="1"/>
  <c r="K41" i="13"/>
  <c r="R40" i="13"/>
  <c r="Q40" i="13"/>
  <c r="P40" i="13"/>
  <c r="O40" i="13"/>
  <c r="N40" i="13"/>
  <c r="L40" i="13"/>
  <c r="K40" i="13"/>
  <c r="R39" i="13"/>
  <c r="Q39" i="13"/>
  <c r="P39" i="13"/>
  <c r="O39" i="13"/>
  <c r="N39" i="13"/>
  <c r="L39" i="13"/>
  <c r="K39" i="13"/>
  <c r="J39" i="13"/>
  <c r="R38" i="13"/>
  <c r="Q38" i="13"/>
  <c r="P38" i="13"/>
  <c r="O38" i="13"/>
  <c r="N38" i="13"/>
  <c r="L38" i="13"/>
  <c r="K38" i="13"/>
  <c r="R37" i="13"/>
  <c r="Q37" i="13"/>
  <c r="P37" i="13"/>
  <c r="O37" i="13"/>
  <c r="N37" i="13"/>
  <c r="L37" i="13"/>
  <c r="K37" i="13"/>
  <c r="J37" i="13"/>
  <c r="R36" i="13"/>
  <c r="Q36" i="13"/>
  <c r="P36" i="13"/>
  <c r="O36" i="13"/>
  <c r="N36" i="13"/>
  <c r="L36" i="13"/>
  <c r="K36" i="13"/>
  <c r="R35" i="13"/>
  <c r="Q35" i="13"/>
  <c r="P35" i="13"/>
  <c r="O35" i="13"/>
  <c r="N35" i="13"/>
  <c r="L35" i="13"/>
  <c r="K35" i="13"/>
  <c r="J35" i="13"/>
  <c r="R33" i="13"/>
  <c r="Q33" i="13"/>
  <c r="P33" i="13"/>
  <c r="O33" i="13"/>
  <c r="N33" i="13"/>
  <c r="L33" i="13"/>
  <c r="J33" i="13" s="1"/>
  <c r="K33" i="13"/>
  <c r="R32" i="13"/>
  <c r="Q32" i="13"/>
  <c r="P32" i="13"/>
  <c r="O32" i="13"/>
  <c r="N32" i="13"/>
  <c r="L32" i="13"/>
  <c r="J32" i="13" s="1"/>
  <c r="K32" i="13"/>
  <c r="R31" i="13"/>
  <c r="Q31" i="13"/>
  <c r="P31" i="13"/>
  <c r="O31" i="13"/>
  <c r="N31" i="13"/>
  <c r="L31" i="13"/>
  <c r="K31" i="13"/>
  <c r="R30" i="13"/>
  <c r="Q30" i="13"/>
  <c r="P30" i="13"/>
  <c r="O30" i="13"/>
  <c r="N30" i="13"/>
  <c r="L30" i="13"/>
  <c r="K30" i="13"/>
  <c r="J30" i="13"/>
  <c r="R29" i="13"/>
  <c r="Q29" i="13"/>
  <c r="P29" i="13"/>
  <c r="O29" i="13"/>
  <c r="N29" i="13"/>
  <c r="L29" i="13"/>
  <c r="K29" i="13"/>
  <c r="R28" i="13"/>
  <c r="Q28" i="13"/>
  <c r="P28" i="13"/>
  <c r="O28" i="13"/>
  <c r="N28" i="13"/>
  <c r="L28" i="13"/>
  <c r="K28" i="13"/>
  <c r="J28" i="13"/>
  <c r="R27" i="13"/>
  <c r="Q27" i="13"/>
  <c r="P27" i="13"/>
  <c r="O27" i="13"/>
  <c r="N27" i="13"/>
  <c r="L27" i="13"/>
  <c r="K27" i="13"/>
  <c r="R26" i="13"/>
  <c r="Q26" i="13"/>
  <c r="P26" i="13"/>
  <c r="O26" i="13"/>
  <c r="N26" i="13"/>
  <c r="L26" i="13"/>
  <c r="K26" i="13"/>
  <c r="J26" i="13"/>
  <c r="R22" i="13"/>
  <c r="Q22" i="13"/>
  <c r="P22" i="13"/>
  <c r="O22" i="13"/>
  <c r="N22" i="13"/>
  <c r="L22" i="13"/>
  <c r="K22" i="13"/>
  <c r="R21" i="13"/>
  <c r="Q21" i="13"/>
  <c r="P21" i="13"/>
  <c r="O21" i="13"/>
  <c r="N21" i="13"/>
  <c r="L21" i="13"/>
  <c r="K21" i="13"/>
  <c r="R20" i="13"/>
  <c r="Q20" i="13"/>
  <c r="P20" i="13"/>
  <c r="O20" i="13"/>
  <c r="N20" i="13"/>
  <c r="L20" i="13"/>
  <c r="K20" i="13"/>
  <c r="R19" i="13"/>
  <c r="Q19" i="13"/>
  <c r="P19" i="13"/>
  <c r="O19" i="13"/>
  <c r="N19" i="13"/>
  <c r="L19" i="13"/>
  <c r="K19" i="13"/>
  <c r="J19" i="13"/>
  <c r="F63" i="13"/>
  <c r="F61" i="13"/>
  <c r="F60" i="13"/>
  <c r="F59" i="13"/>
  <c r="F58" i="13"/>
  <c r="F57" i="13"/>
  <c r="C61" i="13"/>
  <c r="C60" i="13"/>
  <c r="C59" i="13"/>
  <c r="C58" i="13"/>
  <c r="C57" i="13"/>
  <c r="F52" i="13"/>
  <c r="F51" i="13"/>
  <c r="F50" i="13"/>
  <c r="F49" i="13"/>
  <c r="F48" i="13"/>
  <c r="C52" i="13"/>
  <c r="C51" i="13"/>
  <c r="C50" i="13"/>
  <c r="C49" i="13"/>
  <c r="C48" i="13"/>
  <c r="F42" i="13"/>
  <c r="F41" i="13"/>
  <c r="F40" i="13"/>
  <c r="F39" i="13"/>
  <c r="F38" i="13"/>
  <c r="C42" i="13"/>
  <c r="C41" i="13"/>
  <c r="C40" i="13"/>
  <c r="C39" i="13"/>
  <c r="C38" i="13"/>
  <c r="F33" i="13"/>
  <c r="F32" i="13"/>
  <c r="F31" i="13"/>
  <c r="F30" i="13"/>
  <c r="F29" i="13"/>
  <c r="C33" i="13"/>
  <c r="C32" i="13"/>
  <c r="C31" i="13"/>
  <c r="C30" i="13"/>
  <c r="C29" i="13"/>
  <c r="J22" i="13" l="1"/>
  <c r="J21" i="13"/>
  <c r="J48" i="13"/>
  <c r="J57" i="13"/>
  <c r="J40" i="13"/>
  <c r="J20" i="13"/>
  <c r="J38" i="13"/>
  <c r="J27" i="13"/>
  <c r="J36" i="13"/>
  <c r="J46" i="13"/>
  <c r="J55" i="13"/>
  <c r="J59" i="13"/>
  <c r="J29" i="13"/>
  <c r="J50" i="13"/>
  <c r="J31" i="13"/>
  <c r="J42" i="13"/>
  <c r="J52" i="13"/>
  <c r="K66" i="13"/>
  <c r="L66" i="13"/>
  <c r="N66" i="13"/>
  <c r="Q66" i="13"/>
  <c r="O66" i="13"/>
  <c r="P66" i="13"/>
  <c r="R66" i="13"/>
  <c r="AU28" i="11"/>
  <c r="AI28" i="11"/>
  <c r="L67" i="13" l="1"/>
  <c r="Q67" i="13"/>
  <c r="O67" i="13"/>
  <c r="A3" i="1"/>
  <c r="H66" i="13" l="1"/>
  <c r="G66" i="13"/>
  <c r="F64" i="13"/>
  <c r="F43" i="13"/>
  <c r="C56" i="13"/>
  <c r="C55" i="13"/>
  <c r="C54" i="13"/>
  <c r="C47" i="13"/>
  <c r="C46" i="13"/>
  <c r="C45" i="13"/>
  <c r="C37" i="13"/>
  <c r="C36" i="13"/>
  <c r="C35" i="13"/>
  <c r="C28" i="13"/>
  <c r="C27" i="13"/>
  <c r="F56" i="13"/>
  <c r="F55" i="13"/>
  <c r="F54" i="13"/>
  <c r="F47" i="13"/>
  <c r="F46" i="13"/>
  <c r="F45" i="13"/>
  <c r="F37" i="13"/>
  <c r="F36" i="13"/>
  <c r="F35" i="13"/>
  <c r="F28" i="13"/>
  <c r="F27" i="13"/>
  <c r="F26" i="13"/>
  <c r="F22" i="13"/>
  <c r="F20" i="13"/>
  <c r="F19" i="13"/>
  <c r="E49" i="14"/>
  <c r="E48" i="14"/>
  <c r="E45" i="14"/>
  <c r="E44" i="14"/>
  <c r="E43" i="14"/>
  <c r="E42" i="14"/>
  <c r="C26" i="13"/>
  <c r="E70" i="14" l="1"/>
  <c r="E69" i="14"/>
  <c r="E68" i="14"/>
  <c r="E67" i="14"/>
  <c r="E63" i="14"/>
  <c r="E62" i="14"/>
  <c r="E61" i="14"/>
  <c r="E60" i="14"/>
  <c r="E59" i="14"/>
  <c r="E58" i="14"/>
  <c r="E57" i="14"/>
  <c r="E56" i="14"/>
  <c r="E55" i="14"/>
  <c r="E54" i="14"/>
  <c r="E53" i="14"/>
  <c r="E41" i="14"/>
  <c r="E40" i="14"/>
  <c r="E39" i="14"/>
  <c r="E38" i="14"/>
  <c r="E37" i="14"/>
  <c r="E36" i="14"/>
  <c r="E35" i="14"/>
  <c r="E34" i="14"/>
  <c r="E33" i="14"/>
  <c r="E32" i="14"/>
  <c r="E31" i="14"/>
  <c r="E30" i="14"/>
  <c r="E29" i="14"/>
  <c r="E28" i="14"/>
  <c r="E5" i="14"/>
  <c r="E6" i="14"/>
  <c r="E7" i="14"/>
  <c r="E8" i="14"/>
  <c r="E9" i="14"/>
  <c r="E10" i="14"/>
  <c r="E11" i="14"/>
  <c r="E12" i="14"/>
  <c r="E13" i="14"/>
  <c r="E14" i="14"/>
  <c r="E15" i="14"/>
  <c r="E16" i="14"/>
  <c r="E17" i="14"/>
  <c r="E18" i="14"/>
  <c r="E19" i="14"/>
  <c r="E20" i="14"/>
  <c r="E21" i="14"/>
  <c r="E22" i="14"/>
  <c r="E23" i="14"/>
  <c r="E24" i="14"/>
  <c r="E4" i="14"/>
  <c r="A3" i="8" l="1"/>
  <c r="A4" i="5"/>
  <c r="A4" i="3"/>
  <c r="A3" i="4"/>
  <c r="A3" i="2"/>
  <c r="F3" i="5"/>
  <c r="F3" i="3"/>
  <c r="F7" i="3" l="1"/>
  <c r="AA28" i="11"/>
  <c r="F5" i="1"/>
  <c r="J13" i="3" l="1"/>
  <c r="H13" i="3"/>
  <c r="L44" i="4"/>
  <c r="L45" i="4" s="1"/>
  <c r="J44" i="4"/>
  <c r="J45" i="4" s="1"/>
  <c r="H44" i="4"/>
  <c r="H45" i="4" s="1"/>
  <c r="F44" i="4"/>
  <c r="F45" i="4" s="1"/>
  <c r="D44" i="4"/>
  <c r="D45" i="4" s="1"/>
  <c r="N43" i="4"/>
  <c r="N42" i="4"/>
  <c r="N44" i="4" l="1"/>
  <c r="N42" i="1" l="1"/>
  <c r="F11" i="3" l="1"/>
  <c r="BD28" i="11"/>
  <c r="V28" i="11"/>
  <c r="BD40" i="10"/>
  <c r="BL13" i="10"/>
  <c r="N23" i="1" l="1"/>
  <c r="D14" i="3" s="1"/>
  <c r="BL11" i="11" l="1"/>
  <c r="F4" i="4" l="1"/>
  <c r="L128" i="4"/>
  <c r="J128" i="4"/>
  <c r="H128" i="4"/>
  <c r="F128" i="4"/>
  <c r="D128" i="4"/>
  <c r="L119" i="4" l="1"/>
  <c r="J119" i="4"/>
  <c r="H119" i="4"/>
  <c r="F119" i="4"/>
  <c r="D119" i="4"/>
  <c r="L106" i="4"/>
  <c r="L107" i="4" s="1"/>
  <c r="J106" i="4"/>
  <c r="J107" i="4" s="1"/>
  <c r="H106" i="4"/>
  <c r="H107" i="4" s="1"/>
  <c r="F106" i="4"/>
  <c r="F107" i="4" s="1"/>
  <c r="D106" i="4"/>
  <c r="D107" i="4" s="1"/>
  <c r="N105" i="4"/>
  <c r="N104" i="4"/>
  <c r="D37" i="3" s="1"/>
  <c r="N106" i="4" l="1"/>
  <c r="N119" i="4"/>
  <c r="BL39" i="10"/>
  <c r="N40" i="10"/>
  <c r="AB17" i="10" l="1"/>
  <c r="BL36" i="10" l="1"/>
  <c r="BJ22" i="11"/>
  <c r="BI22" i="11"/>
  <c r="BH22" i="11"/>
  <c r="BG22" i="11"/>
  <c r="BF22" i="11"/>
  <c r="BE22" i="11"/>
  <c r="BD22" i="11"/>
  <c r="BC22" i="11"/>
  <c r="BB22" i="11"/>
  <c r="BA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BJ30" i="10"/>
  <c r="BI30" i="10"/>
  <c r="BH30" i="10"/>
  <c r="BG30"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C63" i="9"/>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BI15" i="11"/>
  <c r="BJ15" i="11"/>
  <c r="I40" i="10"/>
  <c r="E17" i="10"/>
  <c r="F17" i="10"/>
  <c r="G17" i="10"/>
  <c r="H17" i="10"/>
  <c r="I17" i="10"/>
  <c r="J17" i="10"/>
  <c r="K17" i="10"/>
  <c r="L17" i="10"/>
  <c r="M17" i="10"/>
  <c r="N17" i="10"/>
  <c r="O17" i="10"/>
  <c r="P17" i="10"/>
  <c r="Q17" i="10"/>
  <c r="R17" i="10"/>
  <c r="S17" i="10"/>
  <c r="T17" i="10"/>
  <c r="U17" i="10"/>
  <c r="V17" i="10"/>
  <c r="W17" i="10"/>
  <c r="X17" i="10"/>
  <c r="Y17" i="10"/>
  <c r="Z17" i="10"/>
  <c r="AA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BL27" i="11"/>
  <c r="BL26" i="11"/>
  <c r="E22" i="11"/>
  <c r="BL21" i="11"/>
  <c r="BL20" i="11"/>
  <c r="BL19" i="11"/>
  <c r="BL18" i="11"/>
  <c r="BL14" i="11"/>
  <c r="BL13" i="11"/>
  <c r="BL12" i="11"/>
  <c r="BL10" i="11"/>
  <c r="BL9" i="11"/>
  <c r="BL8" i="11"/>
  <c r="BL7" i="11"/>
  <c r="BF40" i="10"/>
  <c r="AY40" i="10"/>
  <c r="AW40" i="10"/>
  <c r="AU40" i="10"/>
  <c r="AT40" i="10"/>
  <c r="AO40" i="10"/>
  <c r="AN40" i="10"/>
  <c r="AL40" i="10"/>
  <c r="AK40" i="10"/>
  <c r="AD40" i="10"/>
  <c r="AC40" i="10"/>
  <c r="Y40" i="10"/>
  <c r="U40" i="10"/>
  <c r="T40" i="10"/>
  <c r="S40" i="10"/>
  <c r="M40" i="10"/>
  <c r="H40" i="10"/>
  <c r="BL38" i="10"/>
  <c r="BL37" i="10"/>
  <c r="BL35" i="10"/>
  <c r="BL34" i="10"/>
  <c r="BJ40" i="10"/>
  <c r="BI40" i="10"/>
  <c r="BH40" i="10"/>
  <c r="BG40" i="10"/>
  <c r="BE40" i="10"/>
  <c r="BC40" i="10"/>
  <c r="BB40" i="10"/>
  <c r="BA40" i="10"/>
  <c r="AZ40" i="10"/>
  <c r="AX40" i="10"/>
  <c r="AV40" i="10"/>
  <c r="AS40" i="10"/>
  <c r="AR40" i="10"/>
  <c r="AQ40" i="10"/>
  <c r="AP40" i="10"/>
  <c r="AM40" i="10"/>
  <c r="AJ40" i="10"/>
  <c r="AI40" i="10"/>
  <c r="AH40" i="10"/>
  <c r="AG40" i="10"/>
  <c r="AF40" i="10"/>
  <c r="AE40" i="10"/>
  <c r="AB40" i="10"/>
  <c r="AA40" i="10"/>
  <c r="Z40" i="10"/>
  <c r="X40" i="10"/>
  <c r="W40" i="10"/>
  <c r="V40" i="10"/>
  <c r="V30" i="11" s="1"/>
  <c r="R40" i="10"/>
  <c r="Q40" i="10"/>
  <c r="P40" i="10"/>
  <c r="O40" i="10"/>
  <c r="L40" i="10"/>
  <c r="K40" i="10"/>
  <c r="J40" i="10"/>
  <c r="G40" i="10"/>
  <c r="F40" i="10"/>
  <c r="E40" i="10"/>
  <c r="E30" i="10"/>
  <c r="BL29" i="10"/>
  <c r="BL28" i="10"/>
  <c r="BL27" i="10"/>
  <c r="BL26" i="10"/>
  <c r="BL25" i="10"/>
  <c r="BL24" i="10"/>
  <c r="BL23" i="10"/>
  <c r="BL22" i="10"/>
  <c r="BL21" i="10"/>
  <c r="BL20" i="10"/>
  <c r="BL16" i="10"/>
  <c r="BL15" i="10"/>
  <c r="BL14" i="10"/>
  <c r="BL12" i="10"/>
  <c r="BL11" i="10"/>
  <c r="BL10" i="10"/>
  <c r="BL9" i="10"/>
  <c r="BL8" i="10"/>
  <c r="BL7" i="10"/>
  <c r="BL33" i="10"/>
  <c r="D121" i="4"/>
  <c r="D120" i="4"/>
  <c r="L79" i="4"/>
  <c r="L80" i="4" s="1"/>
  <c r="J79" i="4"/>
  <c r="J80" i="4" s="1"/>
  <c r="H79" i="4"/>
  <c r="H80" i="4" s="1"/>
  <c r="F79" i="4"/>
  <c r="F80" i="4" s="1"/>
  <c r="D79" i="4"/>
  <c r="N76" i="4"/>
  <c r="D18" i="5" s="1"/>
  <c r="N77" i="4"/>
  <c r="D19" i="5" s="1"/>
  <c r="N78" i="4"/>
  <c r="D20" i="5" s="1"/>
  <c r="L121" i="4"/>
  <c r="L120" i="4"/>
  <c r="J121" i="4"/>
  <c r="J120" i="4"/>
  <c r="H121" i="4"/>
  <c r="H120" i="4"/>
  <c r="F121" i="4"/>
  <c r="F120" i="4"/>
  <c r="N18" i="4"/>
  <c r="N17" i="4"/>
  <c r="N27" i="2"/>
  <c r="O27" i="2" s="1"/>
  <c r="D111" i="4"/>
  <c r="D112" i="4"/>
  <c r="D51" i="1"/>
  <c r="D125" i="4" s="1"/>
  <c r="D113" i="4"/>
  <c r="D114" i="4"/>
  <c r="D115" i="4"/>
  <c r="D101" i="4"/>
  <c r="F111" i="4"/>
  <c r="F112" i="4"/>
  <c r="F113" i="4"/>
  <c r="F114" i="4"/>
  <c r="F115" i="4"/>
  <c r="F101" i="4"/>
  <c r="H111" i="4"/>
  <c r="H112" i="4"/>
  <c r="H113" i="4"/>
  <c r="H114" i="4"/>
  <c r="H115" i="4"/>
  <c r="H101" i="4"/>
  <c r="J111" i="4"/>
  <c r="J112" i="4"/>
  <c r="J113" i="4"/>
  <c r="J114" i="4"/>
  <c r="J115" i="4"/>
  <c r="J101" i="4"/>
  <c r="L111" i="4"/>
  <c r="L112" i="4"/>
  <c r="L113" i="4"/>
  <c r="L114" i="4"/>
  <c r="L115" i="4"/>
  <c r="L101" i="4"/>
  <c r="D7" i="7"/>
  <c r="N10" i="2"/>
  <c r="N11" i="2"/>
  <c r="N60" i="4"/>
  <c r="N61" i="4"/>
  <c r="D8" i="5" s="1"/>
  <c r="N62" i="4"/>
  <c r="D9" i="5" s="1"/>
  <c r="N12" i="2"/>
  <c r="N13" i="2"/>
  <c r="N14" i="2"/>
  <c r="D11" i="5" s="1"/>
  <c r="N15" i="2"/>
  <c r="D12" i="5" s="1"/>
  <c r="N16" i="2"/>
  <c r="D13" i="5" s="1"/>
  <c r="N17" i="2"/>
  <c r="D14" i="5" s="1"/>
  <c r="N22" i="2"/>
  <c r="D21" i="5" s="1"/>
  <c r="N28" i="2"/>
  <c r="D27" i="5" s="1"/>
  <c r="C17" i="13" s="1"/>
  <c r="L18" i="2"/>
  <c r="L23" i="2"/>
  <c r="J18" i="2"/>
  <c r="J23" i="2"/>
  <c r="H18" i="2"/>
  <c r="H23" i="2"/>
  <c r="F18" i="2"/>
  <c r="F23" i="2"/>
  <c r="D18" i="2"/>
  <c r="D23" i="2"/>
  <c r="N100" i="4"/>
  <c r="N99" i="4"/>
  <c r="D95" i="4"/>
  <c r="D96" i="4" s="1"/>
  <c r="F95" i="4"/>
  <c r="H95" i="4"/>
  <c r="H96" i="4" s="1"/>
  <c r="J95" i="4"/>
  <c r="J96" i="4" s="1"/>
  <c r="L95" i="4"/>
  <c r="L96" i="4" s="1"/>
  <c r="N94" i="4"/>
  <c r="N93" i="4"/>
  <c r="D89" i="4"/>
  <c r="F89" i="4"/>
  <c r="F90" i="4" s="1"/>
  <c r="H89" i="4"/>
  <c r="H90" i="4" s="1"/>
  <c r="J89" i="4"/>
  <c r="J90" i="4" s="1"/>
  <c r="L89" i="4"/>
  <c r="L90" i="4" s="1"/>
  <c r="N88" i="4"/>
  <c r="N87" i="4"/>
  <c r="D28" i="3"/>
  <c r="L27" i="1"/>
  <c r="L45" i="1"/>
  <c r="L51" i="1"/>
  <c r="L125" i="4" s="1"/>
  <c r="J27" i="1"/>
  <c r="J45" i="1"/>
  <c r="J51" i="1"/>
  <c r="J125" i="4" s="1"/>
  <c r="H27" i="1"/>
  <c r="H45" i="1"/>
  <c r="H51" i="1"/>
  <c r="H125" i="4" s="1"/>
  <c r="F27" i="1"/>
  <c r="F45" i="1"/>
  <c r="F51" i="1"/>
  <c r="D27" i="1"/>
  <c r="D45" i="1"/>
  <c r="N11" i="1"/>
  <c r="N12" i="1"/>
  <c r="N13" i="1"/>
  <c r="N14" i="1"/>
  <c r="N15" i="1"/>
  <c r="N16" i="1"/>
  <c r="N25" i="1"/>
  <c r="N11" i="4"/>
  <c r="N17" i="1"/>
  <c r="N18" i="1"/>
  <c r="N19" i="1"/>
  <c r="D10" i="3" s="1"/>
  <c r="N20" i="1"/>
  <c r="N21" i="1"/>
  <c r="D12" i="3" s="1"/>
  <c r="N10" i="4"/>
  <c r="D15" i="3" s="1"/>
  <c r="N24" i="1"/>
  <c r="N16" i="4"/>
  <c r="N19" i="4"/>
  <c r="N30" i="1"/>
  <c r="N38" i="1"/>
  <c r="N32" i="1"/>
  <c r="D22" i="3" s="1"/>
  <c r="N33" i="1"/>
  <c r="D23" i="3" s="1"/>
  <c r="N34" i="1"/>
  <c r="D24" i="3" s="1"/>
  <c r="N35" i="1"/>
  <c r="D25" i="3" s="1"/>
  <c r="N36" i="1"/>
  <c r="D26" i="3" s="1"/>
  <c r="N37" i="1"/>
  <c r="D27" i="3" s="1"/>
  <c r="N24" i="4"/>
  <c r="N30" i="4"/>
  <c r="N36" i="4"/>
  <c r="N48" i="4"/>
  <c r="N54" i="4"/>
  <c r="N25" i="4"/>
  <c r="N31" i="4"/>
  <c r="N37" i="4"/>
  <c r="N49" i="4"/>
  <c r="N55" i="4"/>
  <c r="N50" i="1"/>
  <c r="N107" i="4" s="1"/>
  <c r="N49" i="1"/>
  <c r="F12" i="4"/>
  <c r="F13" i="4" s="1"/>
  <c r="H12" i="4"/>
  <c r="H13" i="4" s="1"/>
  <c r="J12" i="4"/>
  <c r="J13" i="4" s="1"/>
  <c r="L12" i="4"/>
  <c r="L13" i="4" s="1"/>
  <c r="D12" i="4"/>
  <c r="L4" i="4"/>
  <c r="J4" i="4"/>
  <c r="H4" i="4"/>
  <c r="D4" i="4"/>
  <c r="L20" i="4"/>
  <c r="L21" i="4" s="1"/>
  <c r="J20" i="4"/>
  <c r="J21" i="4" s="1"/>
  <c r="H20" i="4"/>
  <c r="H21" i="4" s="1"/>
  <c r="F20" i="4"/>
  <c r="F21" i="4" s="1"/>
  <c r="L63" i="4"/>
  <c r="L64" i="4" s="1"/>
  <c r="J63" i="4"/>
  <c r="J64" i="4" s="1"/>
  <c r="H63" i="4"/>
  <c r="H64" i="4" s="1"/>
  <c r="F63" i="4"/>
  <c r="D63" i="4"/>
  <c r="L56" i="4"/>
  <c r="L57" i="4" s="1"/>
  <c r="J56" i="4"/>
  <c r="J57" i="4" s="1"/>
  <c r="H56" i="4"/>
  <c r="H57" i="4" s="1"/>
  <c r="F56" i="4"/>
  <c r="F57" i="4" s="1"/>
  <c r="D56" i="4"/>
  <c r="D57" i="4" s="1"/>
  <c r="L50" i="4"/>
  <c r="L51" i="4" s="1"/>
  <c r="J50" i="4"/>
  <c r="J51" i="4" s="1"/>
  <c r="H50" i="4"/>
  <c r="H51" i="4" s="1"/>
  <c r="F50" i="4"/>
  <c r="F51" i="4" s="1"/>
  <c r="D50" i="4"/>
  <c r="D51" i="4" s="1"/>
  <c r="L38" i="4"/>
  <c r="L39" i="4" s="1"/>
  <c r="J38" i="4"/>
  <c r="J39" i="4" s="1"/>
  <c r="H38" i="4"/>
  <c r="F38" i="4"/>
  <c r="F39" i="4" s="1"/>
  <c r="D38" i="4"/>
  <c r="D39" i="4" s="1"/>
  <c r="L32" i="4"/>
  <c r="L33" i="4" s="1"/>
  <c r="J32" i="4"/>
  <c r="J33" i="4" s="1"/>
  <c r="H32" i="4"/>
  <c r="F32" i="4"/>
  <c r="F33" i="4" s="1"/>
  <c r="D32" i="4"/>
  <c r="D33" i="4" s="1"/>
  <c r="L26" i="4"/>
  <c r="L27" i="4" s="1"/>
  <c r="J26" i="4"/>
  <c r="J27" i="4" s="1"/>
  <c r="H26" i="4"/>
  <c r="H27" i="4" s="1"/>
  <c r="F26" i="4"/>
  <c r="F27" i="4" s="1"/>
  <c r="D26" i="4"/>
  <c r="D27" i="4" s="1"/>
  <c r="D20" i="4"/>
  <c r="L5" i="1"/>
  <c r="J5" i="1"/>
  <c r="H5" i="1"/>
  <c r="D5" i="1"/>
  <c r="N39" i="1"/>
  <c r="N40" i="1"/>
  <c r="N41" i="1"/>
  <c r="N48" i="1"/>
  <c r="N44" i="1"/>
  <c r="N43" i="1"/>
  <c r="N26" i="1"/>
  <c r="N10" i="1"/>
  <c r="N9" i="1"/>
  <c r="D7" i="3" s="1"/>
  <c r="L5" i="2"/>
  <c r="J5" i="2"/>
  <c r="H5" i="2"/>
  <c r="F5" i="2"/>
  <c r="D5" i="2"/>
  <c r="N21" i="2"/>
  <c r="N9" i="2"/>
  <c r="D64" i="4"/>
  <c r="D23" i="13" l="1"/>
  <c r="E69" i="13"/>
  <c r="F69" i="13" s="1"/>
  <c r="E67" i="13" s="1"/>
  <c r="B66" i="13"/>
  <c r="E23" i="13"/>
  <c r="D66" i="13"/>
  <c r="A1" i="1"/>
  <c r="B2" i="13"/>
  <c r="BL40" i="10"/>
  <c r="D21" i="3"/>
  <c r="F40" i="3"/>
  <c r="F26" i="3"/>
  <c r="F23" i="3"/>
  <c r="F22" i="3"/>
  <c r="H22" i="3" s="1"/>
  <c r="F28" i="3"/>
  <c r="F39" i="3"/>
  <c r="F25" i="3"/>
  <c r="F24" i="3"/>
  <c r="F30" i="3"/>
  <c r="F29" i="3"/>
  <c r="F16" i="3"/>
  <c r="F37" i="3"/>
  <c r="H37" i="3" s="1"/>
  <c r="J37" i="3" s="1"/>
  <c r="F27" i="3"/>
  <c r="F34" i="3"/>
  <c r="F21" i="3"/>
  <c r="F17" i="3"/>
  <c r="F27" i="5"/>
  <c r="F13" i="5"/>
  <c r="F24" i="5"/>
  <c r="F26" i="5"/>
  <c r="F21" i="5"/>
  <c r="H21" i="5" s="1"/>
  <c r="J21" i="5" s="1"/>
  <c r="F19" i="5"/>
  <c r="H19" i="5" s="1"/>
  <c r="J19" i="5" s="1"/>
  <c r="F20" i="5"/>
  <c r="F18" i="5"/>
  <c r="H18" i="5" s="1"/>
  <c r="J18" i="5" s="1"/>
  <c r="F14" i="5"/>
  <c r="F15" i="3"/>
  <c r="H15" i="3" s="1"/>
  <c r="J15" i="3" s="1"/>
  <c r="F14" i="3"/>
  <c r="J25" i="2"/>
  <c r="J29" i="2" s="1"/>
  <c r="D11" i="3"/>
  <c r="F10" i="3"/>
  <c r="H10" i="3" s="1"/>
  <c r="P2" i="3"/>
  <c r="F25" i="2"/>
  <c r="F29" i="2" s="1"/>
  <c r="F31" i="2" s="1"/>
  <c r="J122" i="4"/>
  <c r="J127" i="4" s="1"/>
  <c r="BI28" i="11"/>
  <c r="U28" i="11"/>
  <c r="U30" i="11" s="1"/>
  <c r="M28" i="11"/>
  <c r="M30" i="11" s="1"/>
  <c r="N101" i="4"/>
  <c r="D9" i="3"/>
  <c r="N23" i="2"/>
  <c r="AN28" i="11"/>
  <c r="AN30" i="11" s="1"/>
  <c r="X28" i="11"/>
  <c r="X30" i="11" s="1"/>
  <c r="P28" i="11"/>
  <c r="P30" i="11" s="1"/>
  <c r="BH28" i="11"/>
  <c r="BH30" i="11" s="1"/>
  <c r="AR28" i="11"/>
  <c r="AR30" i="11" s="1"/>
  <c r="AJ28" i="11"/>
  <c r="AJ30" i="11" s="1"/>
  <c r="T28" i="11"/>
  <c r="T30" i="11" s="1"/>
  <c r="L28" i="11"/>
  <c r="L30" i="11" s="1"/>
  <c r="L25" i="2"/>
  <c r="L29" i="2" s="1"/>
  <c r="N113" i="4"/>
  <c r="R42" i="10"/>
  <c r="N120" i="4"/>
  <c r="H25" i="2"/>
  <c r="H29" i="2" s="1"/>
  <c r="N121" i="4"/>
  <c r="BL30" i="10"/>
  <c r="Y28" i="11"/>
  <c r="Y30" i="11" s="1"/>
  <c r="Q28" i="11"/>
  <c r="Q30" i="11" s="1"/>
  <c r="I28" i="11"/>
  <c r="I30" i="11" s="1"/>
  <c r="L122" i="4"/>
  <c r="L127" i="4" s="1"/>
  <c r="D8" i="3"/>
  <c r="D122" i="4"/>
  <c r="D127" i="4" s="1"/>
  <c r="AY28" i="11"/>
  <c r="AY30" i="11" s="1"/>
  <c r="AU30" i="11"/>
  <c r="AM28" i="11"/>
  <c r="AM30" i="11" s="1"/>
  <c r="AI30" i="11"/>
  <c r="AE28" i="11"/>
  <c r="W28" i="11"/>
  <c r="S28" i="11"/>
  <c r="S30" i="11" s="1"/>
  <c r="AC28" i="11"/>
  <c r="AC30" i="11" s="1"/>
  <c r="AK28" i="11"/>
  <c r="AK30" i="11" s="1"/>
  <c r="BA28" i="11"/>
  <c r="BA30" i="11" s="1"/>
  <c r="BH42" i="10"/>
  <c r="AZ42" i="10"/>
  <c r="AJ42" i="10"/>
  <c r="AF28" i="11"/>
  <c r="AF30" i="11" s="1"/>
  <c r="BJ28" i="11"/>
  <c r="BJ30" i="11" s="1"/>
  <c r="BF28" i="11"/>
  <c r="BF30" i="11" s="1"/>
  <c r="BB28" i="11"/>
  <c r="BB30" i="11" s="1"/>
  <c r="AX28" i="11"/>
  <c r="AX30" i="11" s="1"/>
  <c r="AT28" i="11"/>
  <c r="AT30" i="11" s="1"/>
  <c r="AP28" i="11"/>
  <c r="AP30" i="11" s="1"/>
  <c r="AL28" i="11"/>
  <c r="AL30" i="11" s="1"/>
  <c r="AD28" i="11"/>
  <c r="AD30" i="11" s="1"/>
  <c r="K28" i="11"/>
  <c r="K30" i="11" s="1"/>
  <c r="G28" i="11"/>
  <c r="G30" i="11" s="1"/>
  <c r="AW28" i="11"/>
  <c r="AW30" i="11" s="1"/>
  <c r="AS28" i="11"/>
  <c r="AS30" i="11" s="1"/>
  <c r="AO28" i="11"/>
  <c r="AO30" i="11" s="1"/>
  <c r="AG28" i="11"/>
  <c r="AG30" i="11" s="1"/>
  <c r="J28" i="11"/>
  <c r="J30" i="11" s="1"/>
  <c r="R28" i="11"/>
  <c r="R30" i="11" s="1"/>
  <c r="Z28" i="11"/>
  <c r="Z30" i="11" s="1"/>
  <c r="AH28" i="11"/>
  <c r="AH30" i="11" s="1"/>
  <c r="H42" i="10"/>
  <c r="AV42" i="10"/>
  <c r="AA42" i="10"/>
  <c r="W42" i="10"/>
  <c r="O42" i="10"/>
  <c r="K42" i="10"/>
  <c r="BF42" i="10"/>
  <c r="BB42" i="10"/>
  <c r="AX42" i="10"/>
  <c r="AT42" i="10"/>
  <c r="Y42" i="10"/>
  <c r="U42" i="10"/>
  <c r="M42" i="10"/>
  <c r="I42" i="10"/>
  <c r="BC42" i="10"/>
  <c r="AQ42" i="10"/>
  <c r="AI42" i="10"/>
  <c r="AE42" i="10"/>
  <c r="AS42" i="10"/>
  <c r="BL17" i="10"/>
  <c r="F9" i="3"/>
  <c r="AO42" i="10"/>
  <c r="AG42" i="10"/>
  <c r="S42" i="10"/>
  <c r="AC42" i="10"/>
  <c r="AN42" i="10"/>
  <c r="BD42" i="10"/>
  <c r="F7" i="5"/>
  <c r="F11" i="5"/>
  <c r="A1" i="8"/>
  <c r="F12" i="5"/>
  <c r="H12" i="5" s="1"/>
  <c r="A1" i="2"/>
  <c r="A1" i="3"/>
  <c r="A1" i="5"/>
  <c r="A1" i="4"/>
  <c r="N18" i="2"/>
  <c r="D25" i="2"/>
  <c r="D29" i="2" s="1"/>
  <c r="D31" i="2" s="1"/>
  <c r="L116" i="4"/>
  <c r="L126" i="4" s="1"/>
  <c r="BC28" i="11"/>
  <c r="BC30" i="11" s="1"/>
  <c r="N28" i="11"/>
  <c r="N30" i="11" s="1"/>
  <c r="F42" i="10"/>
  <c r="J42" i="10"/>
  <c r="E28" i="11"/>
  <c r="E30" i="11" s="1"/>
  <c r="BI30" i="11"/>
  <c r="H7" i="3"/>
  <c r="J7" i="3" s="1"/>
  <c r="N56" i="4"/>
  <c r="D13" i="4"/>
  <c r="N12" i="4"/>
  <c r="J31" i="2"/>
  <c r="F8" i="5"/>
  <c r="H8" i="5" s="1"/>
  <c r="J8" i="5" s="1"/>
  <c r="F10" i="5"/>
  <c r="F9" i="5"/>
  <c r="AM42" i="10"/>
  <c r="N42" i="10"/>
  <c r="F8" i="3"/>
  <c r="F12" i="3"/>
  <c r="N50" i="4"/>
  <c r="D17" i="3"/>
  <c r="BL22" i="11"/>
  <c r="AL42" i="10"/>
  <c r="D7" i="5"/>
  <c r="N115" i="4"/>
  <c r="F116" i="4"/>
  <c r="F126" i="4" s="1"/>
  <c r="AB42" i="10"/>
  <c r="AV28" i="11"/>
  <c r="AV30" i="11" s="1"/>
  <c r="F28" i="11"/>
  <c r="F30" i="11" s="1"/>
  <c r="AU42" i="10"/>
  <c r="AY42" i="10"/>
  <c r="D53" i="1"/>
  <c r="J53" i="1"/>
  <c r="Z42" i="10"/>
  <c r="AP42" i="10"/>
  <c r="AH42" i="10"/>
  <c r="Q42" i="10"/>
  <c r="E42" i="10"/>
  <c r="H28" i="11"/>
  <c r="H30" i="11" s="1"/>
  <c r="N26" i="4"/>
  <c r="D16" i="3"/>
  <c r="N45" i="1"/>
  <c r="N128" i="4"/>
  <c r="H122" i="4"/>
  <c r="H127" i="4" s="1"/>
  <c r="V42" i="10"/>
  <c r="BG42" i="10"/>
  <c r="BI42" i="10"/>
  <c r="BE42" i="10"/>
  <c r="BA42" i="10"/>
  <c r="BG28" i="11"/>
  <c r="BG30" i="11" s="1"/>
  <c r="AZ28" i="11"/>
  <c r="AZ30" i="11" s="1"/>
  <c r="O28" i="11"/>
  <c r="O30" i="11" s="1"/>
  <c r="X42" i="10"/>
  <c r="AF42" i="10"/>
  <c r="AB28" i="11"/>
  <c r="AB30" i="11" s="1"/>
  <c r="H33" i="4"/>
  <c r="N32" i="4"/>
  <c r="F64" i="4"/>
  <c r="N63" i="4"/>
  <c r="F125" i="4"/>
  <c r="N125" i="4" s="1"/>
  <c r="F53" i="1"/>
  <c r="F96" i="4"/>
  <c r="N95" i="4"/>
  <c r="D22" i="5"/>
  <c r="AD42" i="10"/>
  <c r="N89" i="4"/>
  <c r="J116" i="4"/>
  <c r="J126" i="4" s="1"/>
  <c r="J129" i="4" s="1"/>
  <c r="N111" i="4"/>
  <c r="H116" i="4"/>
  <c r="H126" i="4" s="1"/>
  <c r="N114" i="4"/>
  <c r="AR42" i="10"/>
  <c r="D80" i="4"/>
  <c r="N79" i="4"/>
  <c r="BJ42" i="10"/>
  <c r="T42" i="10"/>
  <c r="L42" i="10"/>
  <c r="D90" i="4"/>
  <c r="H39" i="4"/>
  <c r="N38" i="4"/>
  <c r="N51" i="1"/>
  <c r="D21" i="4"/>
  <c r="N20" i="4"/>
  <c r="N112" i="4"/>
  <c r="D116" i="4"/>
  <c r="BL15" i="11"/>
  <c r="D30" i="3"/>
  <c r="N27" i="1"/>
  <c r="H53" i="1"/>
  <c r="L53" i="1"/>
  <c r="D10" i="5"/>
  <c r="AW42" i="10"/>
  <c r="AK42" i="10"/>
  <c r="P42" i="10"/>
  <c r="BE28" i="11"/>
  <c r="BE30" i="11" s="1"/>
  <c r="D26" i="5"/>
  <c r="G42" i="10"/>
  <c r="BD30" i="11"/>
  <c r="D29" i="3"/>
  <c r="F122" i="4"/>
  <c r="F127" i="4" s="1"/>
  <c r="AQ28" i="11"/>
  <c r="AQ30" i="11" s="1"/>
  <c r="E65" i="13" l="1"/>
  <c r="E68" i="13"/>
  <c r="E66" i="13" s="1"/>
  <c r="L31" i="2"/>
  <c r="H21" i="3"/>
  <c r="J21" i="3" s="1"/>
  <c r="H14" i="3"/>
  <c r="J14" i="3" s="1"/>
  <c r="J10" i="3"/>
  <c r="W30" i="11"/>
  <c r="AE30" i="11"/>
  <c r="L129" i="4"/>
  <c r="H9" i="3"/>
  <c r="J9" i="3" s="1"/>
  <c r="F28" i="5"/>
  <c r="H129" i="4"/>
  <c r="H8" i="3"/>
  <c r="J8" i="3" s="1"/>
  <c r="AA30" i="11"/>
  <c r="H11" i="3"/>
  <c r="J11" i="3" s="1"/>
  <c r="H10" i="5"/>
  <c r="J10" i="5" s="1"/>
  <c r="H26" i="5"/>
  <c r="J26" i="5" s="1"/>
  <c r="H17" i="3"/>
  <c r="J17" i="3" s="1"/>
  <c r="BL42" i="10"/>
  <c r="H9" i="5"/>
  <c r="J9" i="5" s="1"/>
  <c r="H27" i="3"/>
  <c r="J27" i="3" s="1"/>
  <c r="H26" i="3"/>
  <c r="J26" i="3" s="1"/>
  <c r="H7" i="5"/>
  <c r="J7" i="5" s="1"/>
  <c r="J12" i="5"/>
  <c r="H29" i="3"/>
  <c r="J29" i="3" s="1"/>
  <c r="D18" i="3"/>
  <c r="J22" i="3"/>
  <c r="H25" i="3"/>
  <c r="J25" i="3" s="1"/>
  <c r="H30" i="3"/>
  <c r="J30" i="3" s="1"/>
  <c r="H12" i="3"/>
  <c r="J12" i="3" s="1"/>
  <c r="H27" i="5"/>
  <c r="J27" i="5" s="1"/>
  <c r="H11" i="5"/>
  <c r="J11" i="5" s="1"/>
  <c r="H24" i="3"/>
  <c r="J24" i="3" s="1"/>
  <c r="H23" i="3"/>
  <c r="J23" i="3" s="1"/>
  <c r="F31" i="3"/>
  <c r="F22" i="5"/>
  <c r="F15" i="5"/>
  <c r="N25" i="2"/>
  <c r="H28" i="3"/>
  <c r="J28" i="3" s="1"/>
  <c r="BL24" i="11"/>
  <c r="BL28" i="11" s="1"/>
  <c r="H16" i="3"/>
  <c r="J16" i="3" s="1"/>
  <c r="F41" i="3"/>
  <c r="H14" i="5"/>
  <c r="J14" i="5" s="1"/>
  <c r="H20" i="5"/>
  <c r="J20" i="5" s="1"/>
  <c r="H13" i="5"/>
  <c r="J13" i="5" s="1"/>
  <c r="F18" i="3"/>
  <c r="D15" i="5"/>
  <c r="D24" i="5" s="1"/>
  <c r="N127" i="4"/>
  <c r="N29" i="2"/>
  <c r="H31" i="2"/>
  <c r="F129" i="4"/>
  <c r="N116" i="4"/>
  <c r="D34" i="3" s="1"/>
  <c r="D126" i="4"/>
  <c r="D31" i="3"/>
  <c r="N122" i="4"/>
  <c r="D39" i="3" s="1"/>
  <c r="H39" i="3" s="1"/>
  <c r="J39" i="3" s="1"/>
  <c r="BL30" i="11" l="1"/>
  <c r="F43" i="3"/>
  <c r="F30" i="5"/>
  <c r="D28" i="5"/>
  <c r="H24" i="5"/>
  <c r="J24" i="5" s="1"/>
  <c r="N126" i="4"/>
  <c r="D129" i="4"/>
  <c r="N129" i="4" s="1"/>
  <c r="D40" i="3" s="1"/>
  <c r="H40" i="3" s="1"/>
  <c r="J40" i="3" s="1"/>
  <c r="H34" i="3"/>
  <c r="J34" i="3" s="1"/>
  <c r="D41" i="3" l="1"/>
  <c r="D43" i="3" s="1"/>
  <c r="D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tc={4E5FA7D2-F31F-49BC-8977-911F7F545914}</author>
  </authors>
  <commentList>
    <comment ref="B42" authorId="0" shapeId="0" xr:uid="{4E5FA7D2-F31F-49BC-8977-911F7F545914}">
      <text>
        <t>[Threaded comment]
Your version of Excel allows you to read this threaded comment; however, any edits to it will get removed if the file is opened in a newer version of Excel. Learn more: https://go.microsoft.com/fwlink/?linkid=870924
Comment:
    New account in FY2023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tc={201E29CC-945E-418F-BFFC-BE9F7A247ECA}</author>
    <author>tc={FE7C1F45-7745-499C-B1DE-3E3F291E9B98}</author>
    <author>tc={2C73E404-22A1-4542-B626-82E118DEBA15}</author>
    <author>tc={6E1D9443-7CA1-4E05-84D6-A5C4731FD185}</author>
    <author>tc={B061EE0E-A053-4FC0-A09A-F5CE08F2EE10}</author>
    <author>tc={139A5A01-62B4-418C-BE1D-D171E67CA286}</author>
    <author>tc={4B1B065A-DB34-4D31-92F4-143A2A521256}</author>
  </authors>
  <commentList>
    <comment ref="N18" authorId="0" shapeId="0" xr:uid="{201E29CC-945E-418F-BFFC-BE9F7A247ECA}">
      <text>
        <t>[Threaded comment]
Your version of Excel allows you to read this threaded comment; however, any edits to it will get removed if the file is opened in a newer version of Excel. Learn more: https://go.microsoft.com/fwlink/?linkid=870924
Comment:
    Check if an account is not chosen at the line with restatement.</t>
      </text>
    </comment>
    <comment ref="O18" authorId="1" shapeId="0" xr:uid="{FE7C1F45-7745-499C-B1DE-3E3F291E9B98}">
      <text>
        <t>[Threaded comment]
Your version of Excel allows you to read this threaded comment; however, any edits to it will get removed if the file is opened in a newer version of Excel. Learn more: https://go.microsoft.com/fwlink/?linkid=870924
Comment:
    Check if an account is chosen at the line without restatement amount.</t>
      </text>
    </comment>
    <comment ref="P18" authorId="2" shapeId="0" xr:uid="{2C73E404-22A1-4542-B626-82E118DEBA15}">
      <text>
        <t>[Threaded comment]
Your version of Excel allows you to read this threaded comment; however, any edits to it will get removed if the file is opened in a newer version of Excel. Learn more: https://go.microsoft.com/fwlink/?linkid=870924
Comment:
    Check if Restatement reason is not chosen at the line with restatement.</t>
      </text>
    </comment>
    <comment ref="Q18" authorId="3" shapeId="0" xr:uid="{6E1D9443-7CA1-4E05-84D6-A5C4731FD185}">
      <text>
        <t>[Threaded comment]
Your version of Excel allows you to read this threaded comment; however, any edits to it will get removed if the file is opened in a newer version of Excel. Learn more: https://go.microsoft.com/fwlink/?linkid=870924
Comment:
    Check if Category is chosen at the line without restatement amount.</t>
      </text>
    </comment>
    <comment ref="R18" authorId="4" shapeId="0" xr:uid="{B061EE0E-A053-4FC0-A09A-F5CE08F2EE10}">
      <text>
        <t>[Threaded comment]
Your version of Excel allows you to read this threaded comment; however, any edits to it will get removed if the file is opened in a newer version of Excel. Learn more: https://go.microsoft.com/fwlink/?linkid=870924
Comment:
    Check Explanation column if foundation enters at the correct line.</t>
      </text>
    </comment>
    <comment ref="N19" authorId="5" shapeId="0" xr:uid="{139A5A01-62B4-418C-BE1D-D171E67CA286}">
      <text>
        <t xml:space="preserve">[Threaded comment]
Your version of Excel allows you to read this threaded comment; however, any edits to it will get removed if the file is opened in a newer version of Excel. Learn more: https://go.microsoft.com/fwlink/?linkid=870924
Comment:
    Cell O19 to T22 = Keep as is for now because this doesn't negatively affect the error check at row 46 &amp; 47. May update formula later if needed be. </t>
      </text>
    </comment>
    <comment ref="L66" authorId="6" shapeId="0" xr:uid="{4B1B065A-DB34-4D31-92F4-143A2A521256}">
      <text>
        <t>[Threaded comment]
Your version of Excel allows you to read this threaded comment; however, any edits to it will get removed if the file is opened in a newer version of Excel. Learn more: https://go.microsoft.com/fwlink/?linkid=870924
Comment:
    IF(SUM(D16:D19)&lt;&gt;0,IF(SUM(D22:D36)=0,"ERROR - Enter the beginning balance of row B, C, D or E","OK"))</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tc={9EDA521E-C9B9-41FE-898B-B70ABA2BA426}</author>
    <author>tc={5A0769E8-108E-4FAF-9E41-761D4F9EB6D4}</author>
    <author>tc={802CD8E5-DAC0-4DF3-8B1B-127862611A19}</author>
    <author>tc={B88CF562-4000-4409-A6E6-E498A655CD38}</author>
    <author>tc={7427F14F-DDF0-4ED0-BA55-32E7A3622520}</author>
    <author>tc={07814F62-D3AC-4537-AA7D-B596C9FC89D8}</author>
    <author>tc={03397C91-6CD5-41D2-B52E-10AC1C1BB853}</author>
  </authors>
  <commentList>
    <comment ref="N18" authorId="0" shapeId="0" xr:uid="{9EDA521E-C9B9-41FE-898B-B70ABA2BA426}">
      <text>
        <t>[Threaded comment]
Your version of Excel allows you to read this threaded comment; however, any edits to it will get removed if the file is opened in a newer version of Excel. Learn more: https://go.microsoft.com/fwlink/?linkid=870924
Comment:
    Check if an account is not chosen at the line with restatement.</t>
      </text>
    </comment>
    <comment ref="O18" authorId="1" shapeId="0" xr:uid="{5A0769E8-108E-4FAF-9E41-761D4F9EB6D4}">
      <text>
        <t>[Threaded comment]
Your version of Excel allows you to read this threaded comment; however, any edits to it will get removed if the file is opened in a newer version of Excel. Learn more: https://go.microsoft.com/fwlink/?linkid=870924
Comment:
    Check if an account is chosen at the line without restatement amount.</t>
      </text>
    </comment>
    <comment ref="P18" authorId="2" shapeId="0" xr:uid="{802CD8E5-DAC0-4DF3-8B1B-127862611A19}">
      <text>
        <t>[Threaded comment]
Your version of Excel allows you to read this threaded comment; however, any edits to it will get removed if the file is opened in a newer version of Excel. Learn more: https://go.microsoft.com/fwlink/?linkid=870924
Comment:
    Check if Restatement reason is not chosen at the line with restatement.</t>
      </text>
    </comment>
    <comment ref="Q18" authorId="3" shapeId="0" xr:uid="{B88CF562-4000-4409-A6E6-E498A655CD38}">
      <text>
        <t>[Threaded comment]
Your version of Excel allows you to read this threaded comment; however, any edits to it will get removed if the file is opened in a newer version of Excel. Learn more: https://go.microsoft.com/fwlink/?linkid=870924
Comment:
    Check if Category is chosen at the line without restatement amount.</t>
      </text>
    </comment>
    <comment ref="R18" authorId="4" shapeId="0" xr:uid="{7427F14F-DDF0-4ED0-BA55-32E7A3622520}">
      <text>
        <t>[Threaded comment]
Your version of Excel allows you to read this threaded comment; however, any edits to it will get removed if the file is opened in a newer version of Excel. Learn more: https://go.microsoft.com/fwlink/?linkid=870924
Comment:
    Check Explanation column if foundation enters at the correct line.</t>
      </text>
    </comment>
    <comment ref="N19" authorId="5" shapeId="0" xr:uid="{07814F62-D3AC-4537-AA7D-B596C9FC89D8}">
      <text>
        <t xml:space="preserve">[Threaded comment]
Your version of Excel allows you to read this threaded comment; however, any edits to it will get removed if the file is opened in a newer version of Excel. Learn more: https://go.microsoft.com/fwlink/?linkid=870924
Comment:
    Cell O19 to T22 = Keep as is for now because this doesn't negatively affect the error check at row 46 &amp; 47. May update formula later if needed be. </t>
      </text>
    </comment>
    <comment ref="L66" authorId="6" shapeId="0" xr:uid="{03397C91-6CD5-41D2-B52E-10AC1C1BB853}">
      <text>
        <t>[Threaded comment]
Your version of Excel allows you to read this threaded comment; however, any edits to it will get removed if the file is opened in a newer version of Excel. Learn more: https://go.microsoft.com/fwlink/?linkid=870924
Comment:
    IF(SUM(D16:D19)&lt;&gt;0,IF(SUM(D22:D36)=0,"ERROR - Enter the beginning balance of row B, C, D or E","OK"))</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Patcha Kidking</author>
  </authors>
  <commentList>
    <comment ref="F70" authorId="0" shapeId="0" xr:uid="{8B309037-8859-49D6-9E7C-D1D223B262A0}">
      <text>
        <r>
          <rPr>
            <b/>
            <sz val="9"/>
            <color indexed="81"/>
            <rFont val="Tahoma"/>
            <family val="2"/>
          </rPr>
          <t>Patcha Kidking:</t>
        </r>
        <r>
          <rPr>
            <sz val="9"/>
            <color indexed="81"/>
            <rFont val="Tahoma"/>
            <family val="2"/>
          </rPr>
          <t xml:space="preserve">
I see this one at A67 on '431BTA-CU' tab, not on 'Notes' tab of NCFS package.</t>
        </r>
      </text>
    </comment>
  </commentList>
</comments>
</file>

<file path=xl/sharedStrings.xml><?xml version="1.0" encoding="utf-8"?>
<sst xmlns="http://schemas.openxmlformats.org/spreadsheetml/2006/main" count="1503" uniqueCount="730">
  <si>
    <t>Foundation Conversion Template</t>
  </si>
  <si>
    <t>North Carolina Community Colleges</t>
  </si>
  <si>
    <t>For the Year Ended June 30, 2025</t>
  </si>
  <si>
    <r>
      <t>The accompanying "</t>
    </r>
    <r>
      <rPr>
        <i/>
        <sz val="10"/>
        <color indexed="12"/>
        <rFont val="Arial"/>
        <family val="2"/>
      </rPr>
      <t>Foundation Conversion Template - North Carolina Community Colleges"</t>
    </r>
  </si>
  <si>
    <t>was developed by the North Carolina Office of the State Controller (OSC). This template converts</t>
  </si>
  <si>
    <t>private foundations from the FASB 117 format (as amended by FASB Update 2016-14)</t>
  </si>
  <si>
    <t xml:space="preserve"> to the State ACFR format (i.e., GASB 34).</t>
  </si>
  <si>
    <t>Except for North Carolina public colleges and universities, we request that users make reference to OSC</t>
  </si>
  <si>
    <t>as the developer of the accompanying template.  Also, users should provide OSC with samples of any</t>
  </si>
  <si>
    <t>materials utilizing this template or parts thereof.  If you have any questions, please contact</t>
  </si>
  <si>
    <t>Mailing Address</t>
  </si>
  <si>
    <t>State of North Carolina</t>
  </si>
  <si>
    <t>Office of the State Controller</t>
  </si>
  <si>
    <t>1410 Mail Service Center</t>
  </si>
  <si>
    <t>Raleigh, NC 27699-1410</t>
  </si>
  <si>
    <t>Foundation Conversion Template for Colleges</t>
  </si>
  <si>
    <t>General Information</t>
  </si>
  <si>
    <t>Select College Number from the drop down list:</t>
  </si>
  <si>
    <t>College Number</t>
  </si>
  <si>
    <t>C0F</t>
  </si>
  <si>
    <t>Name of College</t>
  </si>
  <si>
    <t>Enter Preparer Information:</t>
  </si>
  <si>
    <t>Preparer's Name</t>
  </si>
  <si>
    <t>Preparer's Phone No.</t>
  </si>
  <si>
    <t>Preparer's E-mail</t>
  </si>
  <si>
    <t>Enter Foundation Name(s):</t>
  </si>
  <si>
    <t>Name of Foundation 1</t>
  </si>
  <si>
    <t>Name of Foundation 2</t>
  </si>
  <si>
    <t>Name of Foundation 3</t>
  </si>
  <si>
    <t>Name of Foundation 4</t>
  </si>
  <si>
    <t>Name of Foundation 5</t>
  </si>
  <si>
    <t>(Note: Names must fit within the shaded areas)</t>
  </si>
  <si>
    <t>GENERAL INSTRUCTIONS:</t>
  </si>
  <si>
    <r>
      <t xml:space="preserve">Throughout the workbook, please enter all amounts in </t>
    </r>
    <r>
      <rPr>
        <b/>
        <sz val="10"/>
        <rFont val="Arial"/>
        <family val="2"/>
      </rPr>
      <t>"</t>
    </r>
    <r>
      <rPr>
        <b/>
        <u/>
        <sz val="10"/>
        <rFont val="Arial"/>
        <family val="2"/>
      </rPr>
      <t>whole dollars</t>
    </r>
    <r>
      <rPr>
        <b/>
        <sz val="10"/>
        <rFont val="Arial"/>
        <family val="2"/>
      </rPr>
      <t>"</t>
    </r>
    <r>
      <rPr>
        <sz val="10"/>
        <rFont val="Arial"/>
        <family val="2"/>
      </rPr>
      <t xml:space="preserve"> not cents.  </t>
    </r>
  </si>
  <si>
    <t>Refer to the notes at the bottom of each tab for further information and instructions.</t>
  </si>
  <si>
    <t xml:space="preserve">Please add any suggestions or explanations of special situations on the "Comments" tab </t>
  </si>
  <si>
    <t>so that we may update the template as needed.</t>
  </si>
  <si>
    <t>Due Date:  September 11, 2025 - Earlier submission is strongly encouraged!</t>
  </si>
  <si>
    <t>Please upload the template to your entity's Sharepoint Year End ACFR 2025</t>
  </si>
  <si>
    <t>library.  OSC will not accept year-end packages via email.  Thank you!</t>
  </si>
  <si>
    <t>Date of Change</t>
  </si>
  <si>
    <t>Worksheet / Narrative #</t>
  </si>
  <si>
    <t>Description of Change</t>
  </si>
  <si>
    <t>Restatement</t>
  </si>
  <si>
    <t>Exhibit A</t>
  </si>
  <si>
    <r>
      <t xml:space="preserve">Statement of Net Assets - FASB 117 Format </t>
    </r>
    <r>
      <rPr>
        <vertAlign val="superscript"/>
        <sz val="10"/>
        <rFont val="Arial"/>
        <family val="2"/>
      </rPr>
      <t>(1)</t>
    </r>
  </si>
  <si>
    <t>Total</t>
  </si>
  <si>
    <t>Assets</t>
  </si>
  <si>
    <t>Cash and cash equivalents</t>
  </si>
  <si>
    <t>**</t>
  </si>
  <si>
    <t>Investments</t>
  </si>
  <si>
    <t>Investment in joint venture</t>
  </si>
  <si>
    <t>Cash surrender value of life insurance</t>
  </si>
  <si>
    <t>Assets held in charitable trusts and annuities</t>
  </si>
  <si>
    <t>Security deposits</t>
  </si>
  <si>
    <t>Assets held by trustee</t>
  </si>
  <si>
    <t>Real estate held for resale</t>
  </si>
  <si>
    <t>Receivables, net</t>
  </si>
  <si>
    <t>Promises to give</t>
  </si>
  <si>
    <t>Inventories</t>
  </si>
  <si>
    <t>Prepaid expenses</t>
  </si>
  <si>
    <t>Notes/loans receivable, net</t>
  </si>
  <si>
    <t>Lease receivable, net</t>
  </si>
  <si>
    <t>Deferred charges</t>
  </si>
  <si>
    <t>In-kind gifts</t>
  </si>
  <si>
    <t>Property and equipment, net</t>
  </si>
  <si>
    <t>Total assets</t>
  </si>
  <si>
    <r>
      <t xml:space="preserve">Liabilities </t>
    </r>
    <r>
      <rPr>
        <vertAlign val="superscript"/>
        <sz val="8"/>
        <rFont val="Arial"/>
        <family val="2"/>
      </rPr>
      <t>(2)</t>
    </r>
  </si>
  <si>
    <t>Accounts payable and accrued expenses</t>
  </si>
  <si>
    <r>
      <t xml:space="preserve">Due to the College </t>
    </r>
    <r>
      <rPr>
        <vertAlign val="superscript"/>
        <sz val="8"/>
        <rFont val="Arial"/>
        <family val="2"/>
      </rPr>
      <t>(3)</t>
    </r>
  </si>
  <si>
    <r>
      <t xml:space="preserve">Grants payable to the College </t>
    </r>
    <r>
      <rPr>
        <vertAlign val="superscript"/>
        <sz val="8"/>
        <rFont val="Arial"/>
        <family val="2"/>
      </rPr>
      <t>(3)</t>
    </r>
  </si>
  <si>
    <t>Unearned revenue</t>
  </si>
  <si>
    <t>Interest payable</t>
  </si>
  <si>
    <t>Deposits payable</t>
  </si>
  <si>
    <t>Funds held for others</t>
  </si>
  <si>
    <t>Interest rate swap fair value liability</t>
  </si>
  <si>
    <t>Split interest agreement obligations</t>
  </si>
  <si>
    <t>Annuities payable</t>
  </si>
  <si>
    <t>Leases payable</t>
  </si>
  <si>
    <t>SBITA liability</t>
  </si>
  <si>
    <t>Notes payable</t>
  </si>
  <si>
    <t>Bonds payable</t>
  </si>
  <si>
    <t>Total liabilities</t>
  </si>
  <si>
    <t>Net Assets</t>
  </si>
  <si>
    <t>Net Assets Without Donor Restrictions</t>
  </si>
  <si>
    <t>Net Assets With Donor Restrictions</t>
  </si>
  <si>
    <t>Total net assets</t>
  </si>
  <si>
    <t>(Assets minus liabilities equals net assets)</t>
  </si>
  <si>
    <t>Notes:</t>
  </si>
  <si>
    <t>(1)</t>
  </si>
  <si>
    <t>If the Foundation's separately issued Statement of Net Assets includes more than one column,</t>
  </si>
  <si>
    <t>key the amounts from the "Total" column.</t>
  </si>
  <si>
    <t>(2)</t>
  </si>
  <si>
    <t>Within a foundation, amounts due to/due from other funds of that foundation should be eliminated and</t>
  </si>
  <si>
    <t>excluded from Exhibit A.  Amounts due to other College foundations should be included with</t>
  </si>
  <si>
    <t>"Accounts payable and accrued expenses".</t>
  </si>
  <si>
    <t>(3)</t>
  </si>
  <si>
    <t>Total foundation payables to the College should agree with the offsetting amount recorded by the</t>
  </si>
  <si>
    <t xml:space="preserve">College as "Due from College Component Units".  The only exception is for timing differences for </t>
  </si>
  <si>
    <t>foundations with different fiscal year-end dates.  When the fiscal years are the same and the total</t>
  </si>
  <si>
    <t>foundation payables to the College do not equal the offsetting receivable recognized by the</t>
  </si>
  <si>
    <t>College, the difference should be reclassified to "Accounts payable and accrued expenses".</t>
  </si>
  <si>
    <t>See Adjustments tab for further breakdown.</t>
  </si>
  <si>
    <t>Exhibit B</t>
  </si>
  <si>
    <r>
      <t>Statement of Activities - FASB 117 Format</t>
    </r>
    <r>
      <rPr>
        <sz val="10"/>
        <rFont val="Arial"/>
        <family val="2"/>
      </rPr>
      <t xml:space="preserve"> </t>
    </r>
    <r>
      <rPr>
        <vertAlign val="superscript"/>
        <sz val="10"/>
        <rFont val="Arial"/>
        <family val="2"/>
      </rPr>
      <t>(1)</t>
    </r>
  </si>
  <si>
    <r>
      <t xml:space="preserve">Revenues </t>
    </r>
    <r>
      <rPr>
        <vertAlign val="superscript"/>
        <sz val="10"/>
        <rFont val="Arial"/>
        <family val="2"/>
      </rPr>
      <t>(2)</t>
    </r>
  </si>
  <si>
    <t>Gifts, donations, and contributions</t>
  </si>
  <si>
    <t>Contributed services and facilities</t>
  </si>
  <si>
    <t>Change in value of split interest agreements</t>
  </si>
  <si>
    <t>Investment income</t>
  </si>
  <si>
    <t>Net realized/unrealized gains (losses) on investments</t>
  </si>
  <si>
    <t>Sales and services</t>
  </si>
  <si>
    <t>Rental and lease income</t>
  </si>
  <si>
    <t>Gain on sale of capital assets</t>
  </si>
  <si>
    <t>Miscellaneous income</t>
  </si>
  <si>
    <t>Total revenues</t>
  </si>
  <si>
    <r>
      <t xml:space="preserve">Expenses </t>
    </r>
    <r>
      <rPr>
        <b/>
        <vertAlign val="superscript"/>
        <sz val="10"/>
        <rFont val="Arial"/>
        <family val="2"/>
      </rPr>
      <t>(3)</t>
    </r>
  </si>
  <si>
    <t>Payments to College</t>
  </si>
  <si>
    <r>
      <t xml:space="preserve">Other expenses </t>
    </r>
    <r>
      <rPr>
        <sz val="8"/>
        <rFont val="Arial"/>
        <family val="2"/>
      </rPr>
      <t>(include losses on sale of capital assets)</t>
    </r>
  </si>
  <si>
    <t>Total expenses</t>
  </si>
  <si>
    <t>Change in net assets</t>
  </si>
  <si>
    <r>
      <t xml:space="preserve">Net assets - beginning of year </t>
    </r>
    <r>
      <rPr>
        <sz val="8"/>
        <rFont val="Arial"/>
        <family val="2"/>
      </rPr>
      <t>(per prior year template )</t>
    </r>
  </si>
  <si>
    <t>Restatements</t>
  </si>
  <si>
    <t>Net assets - end of year</t>
  </si>
  <si>
    <t>(Ending net assets agree with Exhibit A)</t>
  </si>
  <si>
    <t>Notes</t>
  </si>
  <si>
    <t>If the Foundation's separately issued Statement of Activities includes more than one column, key the amounts from the "Total" column.</t>
  </si>
  <si>
    <t>Also, if separate sections are presented for amounts "Without Donor Restrictions" and "With Donor Restrictions",</t>
  </si>
  <si>
    <t>the amounts from each section should be added together.</t>
  </si>
  <si>
    <t>Membership fees that are exchange transactions should be included with "Sales and services".  Conversely, membership fees that are</t>
  </si>
  <si>
    <t>nonexchange transactions should be included with "Gifts, donations, and contributions".</t>
  </si>
  <si>
    <t>Resource flows between foundations should be reported as revenues and expenses (and not as transfers) since each foundation is a</t>
  </si>
  <si>
    <t>separate legal entity.  Under GASB 34, resource flows between a primary government and its discretely presented component units</t>
  </si>
  <si>
    <t>(and between component units) should be reported as if they were external transactions - that is, as revenues and expenses.</t>
  </si>
  <si>
    <t>Exhibit C</t>
  </si>
  <si>
    <t>ACFR Adjustments</t>
  </si>
  <si>
    <r>
      <t xml:space="preserve">Analysis - ACFR Format </t>
    </r>
    <r>
      <rPr>
        <b/>
        <u/>
        <vertAlign val="superscript"/>
        <sz val="10"/>
        <rFont val="Arial"/>
        <family val="2"/>
      </rPr>
      <t>(1)</t>
    </r>
  </si>
  <si>
    <t>Restricted/endowment investments</t>
  </si>
  <si>
    <t>Other Investments</t>
  </si>
  <si>
    <t>(Note: Should equal amount on Exhibit A)</t>
  </si>
  <si>
    <r>
      <t>Property and equipment, net</t>
    </r>
    <r>
      <rPr>
        <b/>
        <vertAlign val="superscript"/>
        <sz val="10"/>
        <rFont val="Arial"/>
        <family val="2"/>
      </rPr>
      <t xml:space="preserve"> (2)</t>
    </r>
  </si>
  <si>
    <t>Unrestricted property/equipment, nondepreciable</t>
  </si>
  <si>
    <t>Unrestricted property/equipment, depreciable, net</t>
  </si>
  <si>
    <t>Restricted property/equipment, nondepreciable</t>
  </si>
  <si>
    <t>Restricted property/equipment, depreciable, net</t>
  </si>
  <si>
    <t>Current portion</t>
  </si>
  <si>
    <t>Noncurrent portion</t>
  </si>
  <si>
    <t>Noncapital gifts</t>
  </si>
  <si>
    <t>Capital gifts</t>
  </si>
  <si>
    <t>Additions to endowments</t>
  </si>
  <si>
    <t>(Note: Should equal amount on Exhibit B)</t>
  </si>
  <si>
    <t>Elimination Data - ACFR Level</t>
  </si>
  <si>
    <r>
      <t xml:space="preserve">Payments to College </t>
    </r>
    <r>
      <rPr>
        <b/>
        <sz val="8"/>
        <rFont val="Arial"/>
        <family val="2"/>
      </rPr>
      <t>(accrual)</t>
    </r>
    <r>
      <rPr>
        <b/>
        <sz val="10"/>
        <rFont val="Arial"/>
        <family val="2"/>
      </rPr>
      <t xml:space="preserve"> </t>
    </r>
    <r>
      <rPr>
        <b/>
        <vertAlign val="superscript"/>
        <sz val="10"/>
        <rFont val="Arial"/>
        <family val="2"/>
      </rPr>
      <t xml:space="preserve">(3) </t>
    </r>
  </si>
  <si>
    <t>Student tuition and fees recognized by College</t>
  </si>
  <si>
    <t>Noncapital gift revenues recognized by College</t>
  </si>
  <si>
    <t>Capital gift revenues recognized by College</t>
  </si>
  <si>
    <t>Other Information</t>
  </si>
  <si>
    <t>Foundation's fiscal year-end date (MM/DD/YY)</t>
  </si>
  <si>
    <t>-</t>
  </si>
  <si>
    <t xml:space="preserve">Notes payable - capital </t>
  </si>
  <si>
    <t>Notes payable - noncapital</t>
  </si>
  <si>
    <t xml:space="preserve">Bonds payable - capital </t>
  </si>
  <si>
    <t>Bonds payable - noncapital</t>
  </si>
  <si>
    <r>
      <t xml:space="preserve">Unspent debt proceeds - notes and bonds </t>
    </r>
    <r>
      <rPr>
        <vertAlign val="superscript"/>
        <sz val="10"/>
        <rFont val="Arial"/>
        <family val="2"/>
      </rPr>
      <t>(4)</t>
    </r>
  </si>
  <si>
    <t>Amount of unspent proceeds - capital debt</t>
  </si>
  <si>
    <t>Amount of unspent proceeds - noncapital debt</t>
  </si>
  <si>
    <r>
      <t xml:space="preserve">Net Position </t>
    </r>
    <r>
      <rPr>
        <b/>
        <vertAlign val="superscript"/>
        <sz val="10"/>
        <rFont val="Arial"/>
        <family val="2"/>
      </rPr>
      <t>(5)</t>
    </r>
  </si>
  <si>
    <t>Permanently Restricted Net Assets</t>
  </si>
  <si>
    <t>Temporarily Restricted Net Assets</t>
  </si>
  <si>
    <r>
      <t xml:space="preserve">Automatic Calculations - GASB 63 Categories </t>
    </r>
    <r>
      <rPr>
        <u/>
        <vertAlign val="superscript"/>
        <sz val="10"/>
        <rFont val="Arial"/>
        <family val="2"/>
      </rPr>
      <t>(5)</t>
    </r>
  </si>
  <si>
    <t>Net investment in capital assets</t>
  </si>
  <si>
    <t>Capital assets, net</t>
  </si>
  <si>
    <t>Less: Leases payable</t>
  </si>
  <si>
    <t>Less: Notes payable - capital</t>
  </si>
  <si>
    <t>Less: Bonds payable - capital</t>
  </si>
  <si>
    <t>Add:  Amount of unspent proceeds - capital debt</t>
  </si>
  <si>
    <t>Restricted, expendable net position</t>
  </si>
  <si>
    <t>Temporarily restricted net assets per Exhibit A</t>
  </si>
  <si>
    <t>Less: Restricted property/equipment, nondepreciable</t>
  </si>
  <si>
    <t>Less: Restricted property/equipment, depreciable, net</t>
  </si>
  <si>
    <t>Restricted, expendable net position per Exhibit D</t>
  </si>
  <si>
    <t>Unrestricted net position</t>
  </si>
  <si>
    <t>Total net assets per Exhibit A</t>
  </si>
  <si>
    <t>Less: Net investment in capital assets</t>
  </si>
  <si>
    <t>Less: Restricted, expendable net position</t>
  </si>
  <si>
    <t>Less: Restricted, nonexpendable net position</t>
  </si>
  <si>
    <t>Unrestricted net position per Exhibit D</t>
  </si>
  <si>
    <t>The "Analysis - ACFR Format" section provides additional details that are necessary to convert the</t>
  </si>
  <si>
    <t>financial statements of private foundations from the FASB 117 format to the GASB 34 format (e.g.,</t>
  </si>
  <si>
    <t>breakdown of investments into restricted/other investments, long-term debt into current/noncurrent</t>
  </si>
  <si>
    <t xml:space="preserve">portions, capital assets into depreciable/nondepreciable portions, and gifts and donations into </t>
  </si>
  <si>
    <t>noncapital/capital gifts and additions to endowments).</t>
  </si>
  <si>
    <t>Property and equipment should be broken down between amounts that are included in unrestricted net</t>
  </si>
  <si>
    <t>assets and amounts that are included in temporarily restricted net assets on the foundation's balance</t>
  </si>
  <si>
    <t>sheet.  FASB 116 allows not-for-profits the option of recording gifts of capital assets as either unrestricted</t>
  </si>
  <si>
    <t>or temporarily restricted (Note: Under the temporarily restricted option, capital assets are reclassified to</t>
  </si>
  <si>
    <t>unrestricted as the asset is depreciated or over the term of the restriction, if shorter).  This breakdown is</t>
  </si>
  <si>
    <t>needed by OSC to properly calculate restricted net assets per GASB 34.</t>
  </si>
  <si>
    <t>In the State ACFR, colleges and component unit foundations will be presented in a single column.</t>
  </si>
  <si>
    <t xml:space="preserve">Therefore, to avoid overstating revenues, OSC will make an ACFR level entry to eliminate foundation </t>
  </si>
  <si>
    <t>payments to colleges (per Exhibit B) and the related revenues recognized by colleges.  OSC needs</t>
  </si>
  <si>
    <t>this breakdown for the elimination entry.</t>
  </si>
  <si>
    <t>(4)</t>
  </si>
  <si>
    <t>Include the unspent debt proceeds (bonds/notes) related to outstanding capital and noncapital debt as of</t>
  </si>
  <si>
    <t>June 30.  As required by GASB Codification Section 1800.156, the unspent portion of bonds and notes payable should</t>
  </si>
  <si>
    <t>reduce the net asset balance of the component that includes the unspent cash.  For example, if a foundation</t>
  </si>
  <si>
    <t>has unspent capital debt proceeds at year-end, the portion of the debt attributable to the unspent proceeds</t>
  </si>
  <si>
    <t>should not be included in the calculation of "invested in capital assets, net of related debt".  Rather, that</t>
  </si>
  <si>
    <t>portion of the debt should be included in the same net assets component as the unspent proceeds (e.g.,</t>
  </si>
  <si>
    <t>"Unrestricted under the FASB 117 Model").</t>
  </si>
  <si>
    <t>(5)</t>
  </si>
  <si>
    <r>
      <t xml:space="preserve">On Exhibit A, Net Assets (with OR without donor restrictions) must be broken out into their expendable and nonexpendable portions for GASB-compliant presentation. Restricted Net Position in GASB statements have constraints on the use of resources that are externally enforceable. Restricted net position can include restrictions from grantors and creditors, in addition to donors. Nonexpendable net position is the portion of net assets (with OR without donor restrictions) that is required to be maintained in perpetuity. That is, it must be maintained intact indefinitely. [GASB 34, para. 35, as amended by GASB 63, para. 7-8]. Permanently Restricted Net Assets rolls directly to "Restricted nonexpendable-higher education" on Exhibit D. 
</t>
    </r>
    <r>
      <rPr>
        <b/>
        <sz val="10"/>
        <rFont val="Arial"/>
        <family val="2"/>
      </rPr>
      <t>*If you have any non-donor restricted net assets, please explain them further on the 'Comments' tab of this template. Such restrictions can be related to debt issued by the Foundation or certain restricted grants.*</t>
    </r>
  </si>
  <si>
    <t>Exhibit D</t>
  </si>
  <si>
    <t>FCCS Entity</t>
  </si>
  <si>
    <t>48200G</t>
  </si>
  <si>
    <t>Statement of Net Position - ACFR Format</t>
  </si>
  <si>
    <t>FCCS Agency</t>
  </si>
  <si>
    <t>*Enter FCCS equivalent Agency. Example - C0</t>
  </si>
  <si>
    <r>
      <t xml:space="preserve">With Prior Year Balances and Computed Variances </t>
    </r>
    <r>
      <rPr>
        <b/>
        <vertAlign val="superscript"/>
        <sz val="10"/>
        <rFont val="Arial"/>
        <family val="2"/>
      </rPr>
      <t>(2)</t>
    </r>
  </si>
  <si>
    <t>Current Year</t>
  </si>
  <si>
    <t>Prior Year Balance</t>
  </si>
  <si>
    <t>Variance (CY-PY)</t>
  </si>
  <si>
    <t>% Change</t>
  </si>
  <si>
    <t>ASSETS</t>
  </si>
  <si>
    <t>Prepaid items</t>
  </si>
  <si>
    <t>Notes receivable, net</t>
  </si>
  <si>
    <t>Leases receivable, net</t>
  </si>
  <si>
    <t>Restricted investments</t>
  </si>
  <si>
    <t>Capital assets - nondepreciable</t>
  </si>
  <si>
    <t>Capital assets - depreciable, net</t>
  </si>
  <si>
    <t>LIABILITIES</t>
  </si>
  <si>
    <t>Accounts payable and accrued liabilities</t>
  </si>
  <si>
    <r>
      <t xml:space="preserve">Due to the College </t>
    </r>
    <r>
      <rPr>
        <vertAlign val="superscript"/>
        <sz val="10"/>
        <rFont val="Arial"/>
        <family val="2"/>
      </rPr>
      <t>(1)</t>
    </r>
  </si>
  <si>
    <r>
      <t>Grants payable to the College</t>
    </r>
    <r>
      <rPr>
        <vertAlign val="superscript"/>
        <sz val="10"/>
        <rFont val="Arial"/>
        <family val="2"/>
      </rPr>
      <t xml:space="preserve"> (1)</t>
    </r>
  </si>
  <si>
    <t>2127GRNT</t>
  </si>
  <si>
    <t>Long-term liabilities:</t>
  </si>
  <si>
    <t>Due within one year</t>
  </si>
  <si>
    <t>DueOneYear</t>
  </si>
  <si>
    <t>Due in more than one year</t>
  </si>
  <si>
    <t>DueMoreOneYear</t>
  </si>
  <si>
    <t>NET POSITION</t>
  </si>
  <si>
    <t>NetinvestmentCapitalAssets</t>
  </si>
  <si>
    <t>CapProjectsReno</t>
  </si>
  <si>
    <t>Restricted for:</t>
  </si>
  <si>
    <t>Nonexpendable:</t>
  </si>
  <si>
    <t>Higher education</t>
  </si>
  <si>
    <t>NonExpendable</t>
  </si>
  <si>
    <t>Higher Ed</t>
  </si>
  <si>
    <t>Expendable:</t>
  </si>
  <si>
    <t>Expendable</t>
  </si>
  <si>
    <t>Unrestricted</t>
  </si>
  <si>
    <t>UnRestricted</t>
  </si>
  <si>
    <t>No Function</t>
  </si>
  <si>
    <t>Total net position</t>
  </si>
  <si>
    <t>(Assets minus liabilities equals net position)</t>
  </si>
  <si>
    <r>
      <t>OSC will make an</t>
    </r>
    <r>
      <rPr>
        <sz val="10"/>
        <color rgb="FFFF0000"/>
        <rFont val="Arial"/>
        <family val="2"/>
      </rPr>
      <t xml:space="preserve"> </t>
    </r>
    <r>
      <rPr>
        <sz val="10"/>
        <rFont val="Arial"/>
        <family val="2"/>
      </rPr>
      <t>entry for the State's ACFR to eliminate the "grossing-up" of assets and liabilities between</t>
    </r>
  </si>
  <si>
    <t>colleges and their component unit foundations.</t>
  </si>
  <si>
    <t>Please perform analytical review as needed to ensure current year amounts are reasonable compared to the prior year,</t>
  </si>
  <si>
    <t>that amounts are keyed on the correct lines, any unusual or significant variances can be explained, etc.</t>
  </si>
  <si>
    <t>OSC does not require any written explanations; the variances are shown as a tool to aid in your own analytical review</t>
  </si>
  <si>
    <t>before submitting the template. The prior year balances are from the foundation template submitted to OSC.</t>
  </si>
  <si>
    <r>
      <rPr>
        <b/>
        <sz val="10"/>
        <rFont val="Arial"/>
        <family val="2"/>
      </rPr>
      <t>Note:</t>
    </r>
    <r>
      <rPr>
        <sz val="10"/>
        <rFont val="Arial"/>
        <family val="2"/>
      </rPr>
      <t xml:space="preserve"> This template does not include deferred outflows/inflows of resources (per GASB 65). Colleges typically are </t>
    </r>
  </si>
  <si>
    <t xml:space="preserve">not expected to have amounts that would need to be reclassified from assets/liabilities to deferred outflows or </t>
  </si>
  <si>
    <t>deferred inflows of resources (e.g., donations/grants transmitted in advance where the only unmet eligibility requirement</t>
  </si>
  <si>
    <t>was a time requirement). If you become aware of assets/liabilities on the template that should be reclassified due to</t>
  </si>
  <si>
    <t xml:space="preserve">GASB 65, please contact your OSC analyst. </t>
  </si>
  <si>
    <t>Exhibit E</t>
  </si>
  <si>
    <t>Statement of Activities - ACFR Format</t>
  </si>
  <si>
    <t>Revenues</t>
  </si>
  <si>
    <t>Rental and lease earnings</t>
  </si>
  <si>
    <t>Miscellaneous</t>
  </si>
  <si>
    <t>Expenses</t>
  </si>
  <si>
    <r>
      <t xml:space="preserve">Payments to College </t>
    </r>
    <r>
      <rPr>
        <sz val="8"/>
        <rFont val="Arial"/>
        <family val="2"/>
      </rPr>
      <t>(accrual)</t>
    </r>
    <r>
      <rPr>
        <sz val="10"/>
        <rFont val="Arial"/>
        <family val="2"/>
      </rPr>
      <t xml:space="preserve"> - student tuition/fees </t>
    </r>
    <r>
      <rPr>
        <vertAlign val="superscript"/>
        <sz val="10"/>
        <rFont val="Arial"/>
        <family val="2"/>
      </rPr>
      <t>(1)</t>
    </r>
  </si>
  <si>
    <t>PymtStuTuition</t>
  </si>
  <si>
    <r>
      <t xml:space="preserve">Payments to College </t>
    </r>
    <r>
      <rPr>
        <sz val="8"/>
        <rFont val="Arial"/>
        <family val="2"/>
      </rPr>
      <t>(accrual)</t>
    </r>
    <r>
      <rPr>
        <sz val="10"/>
        <rFont val="Arial"/>
        <family val="2"/>
      </rPr>
      <t xml:space="preserve"> - noncapital </t>
    </r>
    <r>
      <rPr>
        <vertAlign val="superscript"/>
        <sz val="10"/>
        <rFont val="Arial"/>
        <family val="2"/>
      </rPr>
      <t>(1)</t>
    </r>
  </si>
  <si>
    <t>PymtNonCapital</t>
  </si>
  <si>
    <r>
      <t xml:space="preserve">Payments to College </t>
    </r>
    <r>
      <rPr>
        <sz val="8"/>
        <rFont val="Arial"/>
        <family val="2"/>
      </rPr>
      <t>(accrual)</t>
    </r>
    <r>
      <rPr>
        <sz val="10"/>
        <rFont val="Arial"/>
        <family val="2"/>
      </rPr>
      <t xml:space="preserve"> - capital </t>
    </r>
    <r>
      <rPr>
        <vertAlign val="superscript"/>
        <sz val="10"/>
        <rFont val="Arial"/>
        <family val="2"/>
      </rPr>
      <t>(1)</t>
    </r>
  </si>
  <si>
    <t>PymntCapital</t>
  </si>
  <si>
    <t>Other expenses</t>
  </si>
  <si>
    <t>Increase (decrease) in net position</t>
  </si>
  <si>
    <t>Net position - beginning of year</t>
  </si>
  <si>
    <t>Net position - end of year</t>
  </si>
  <si>
    <t>(Ending net position agrees with Exhibit D)</t>
  </si>
  <si>
    <t>OSC will make an entry for the State's ACFR to eliminate the "grossing-up" of revenues and expenses between</t>
  </si>
  <si>
    <t>[FYI:  A college is not required to present cash flows data for a discretely presented component unit</t>
  </si>
  <si>
    <t>within its basic financial statements (GASB Codification Section 2200.214 and 2200.768-30).</t>
  </si>
  <si>
    <t>Therefore, foundation cash flows data is not needed.]</t>
  </si>
  <si>
    <t xml:space="preserve"> </t>
  </si>
  <si>
    <t>For the State Fiscal Year Ended June 30, 2025</t>
  </si>
  <si>
    <t xml:space="preserve">Instructions: </t>
  </si>
  <si>
    <t>1. Enter the net position effect per GASB 63 classifications at row A - the beginning balance (column 1) and the restatement amount (column 2).</t>
  </si>
  <si>
    <r>
      <rPr>
        <u/>
        <sz val="10"/>
        <color rgb="FF7030A0"/>
        <rFont val="Arial"/>
        <family val="2"/>
      </rPr>
      <t>Note:</t>
    </r>
    <r>
      <rPr>
        <sz val="10"/>
        <color rgb="FF7030A0"/>
        <rFont val="Arial"/>
        <family val="2"/>
      </rPr>
      <t xml:space="preserve"> Row F - Restated Beginning Balance of Net Position before FY2024</t>
    </r>
  </si>
  <si>
    <t>3. Provide restatement reason at column 4 and 5. Choose the main reason at Column 4 which is either an Error Correction (ER) or an Changes in Accounting Principles/Financial Reporting (O).</t>
  </si>
  <si>
    <t>4. Provide explanation for disclosure at column 6 per instruction at Worksheet 430 - Accounting Changes and Error Corrections</t>
  </si>
  <si>
    <t>Click Here</t>
  </si>
  <si>
    <t>R_BegBalances</t>
  </si>
  <si>
    <t>R_Restatements</t>
  </si>
  <si>
    <t>R_EndBalance</t>
  </si>
  <si>
    <t>ErrorCorr</t>
  </si>
  <si>
    <t>Column</t>
  </si>
  <si>
    <t>Row</t>
  </si>
  <si>
    <t>Total restatement from Exh E</t>
  </si>
  <si>
    <t>Balances as of 
July 1, 2024</t>
  </si>
  <si>
    <t>What type of restatement?</t>
  </si>
  <si>
    <t>Explanation (Refer to instruction at 430 narrative - Accounting Changes and Error Corrections)</t>
  </si>
  <si>
    <t>Net Position effect per GASB 63 categories</t>
  </si>
  <si>
    <t>A</t>
  </si>
  <si>
    <t>R_Net investment in capital assets</t>
  </si>
  <si>
    <t>Select Reason</t>
  </si>
  <si>
    <t>R_Restricted - nonexpendable</t>
  </si>
  <si>
    <t>R_Restricted - expendable</t>
  </si>
  <si>
    <t>R_Unrestricted</t>
  </si>
  <si>
    <t>ERROR CHECK</t>
  </si>
  <si>
    <t>Restatement accounts (Exh D and Exh E)</t>
  </si>
  <si>
    <t>Increase (+); Decrease (-)    Note: An increase to an asset should be entered as a positive amount on the table but will calculate to increase net position.</t>
  </si>
  <si>
    <t>B</t>
  </si>
  <si>
    <t>Select an account</t>
  </si>
  <si>
    <t>Liabilities</t>
  </si>
  <si>
    <t>Decrease (+); Increase (-)    Note: An increase to a liability should be entered as a positive amount on the table but will calculate to decrease net position.</t>
  </si>
  <si>
    <t>C</t>
  </si>
  <si>
    <t>Balance Sheet Change</t>
  </si>
  <si>
    <t>Increase (+); Decrease (-)    Note: An increase to a revenue should be entered as a positive amount on the table but will calculate to increase net position.</t>
  </si>
  <si>
    <t>D</t>
  </si>
  <si>
    <t>Decrease (+); Increase (-)    Note: An increase to an expense should be entered as a positive amount on the table but will calculate to decrease net position.</t>
  </si>
  <si>
    <t>E</t>
  </si>
  <si>
    <t>Net Position Restatement prior to FY2024</t>
  </si>
  <si>
    <t>Increase (+); Decrease (-)    Note: An increase to a net position should be entered as a positive amount on the table but will calculate to increase net position.</t>
  </si>
  <si>
    <t>F</t>
  </si>
  <si>
    <t>R_Net position (beginning restated)</t>
  </si>
  <si>
    <t>Select Category</t>
  </si>
  <si>
    <t>Operating Statement Change</t>
  </si>
  <si>
    <t>Total Net Position effect</t>
  </si>
  <si>
    <t>Check Total Restatement effect VS Total Restatement from Exh B and E</t>
  </si>
  <si>
    <t>Check Total Restatement effect</t>
  </si>
  <si>
    <t>IF(C17&lt;&gt;0,IF(F49=0,IF(C17=E49,"OK",IF((E33-E44=0),0,"ERROR"))))</t>
  </si>
  <si>
    <t>Row 45 - Calculation Net effect</t>
  </si>
  <si>
    <t>Comments and Suggestions for Foundation Template for Colleges</t>
  </si>
  <si>
    <t>Updated for 6/30/24 totals on 1/29/25 - jrk</t>
  </si>
  <si>
    <t>Foundation 6/30/24</t>
  </si>
  <si>
    <t>College</t>
  </si>
  <si>
    <t>Ending Net Assets</t>
  </si>
  <si>
    <t>Foundation Number</t>
  </si>
  <si>
    <t>COMMUNITY COLLEGE</t>
  </si>
  <si>
    <t>Per Annual Report</t>
  </si>
  <si>
    <t>Equals "Net Assets/Position - Beginning</t>
  </si>
  <si>
    <t>Select College Foundation Number</t>
  </si>
  <si>
    <t xml:space="preserve">     of Year" on Exh B &amp; Exh E</t>
  </si>
  <si>
    <t>Alamance Community College</t>
  </si>
  <si>
    <t>C1F</t>
  </si>
  <si>
    <t>South Piedmont Community College</t>
  </si>
  <si>
    <t>C2F</t>
  </si>
  <si>
    <t>Asheville-Buncombe Tech Community College</t>
  </si>
  <si>
    <t>C3F</t>
  </si>
  <si>
    <t>Beaufort County Community College</t>
  </si>
  <si>
    <t>C4F</t>
  </si>
  <si>
    <t>Bladen Community College</t>
  </si>
  <si>
    <t>C5F</t>
  </si>
  <si>
    <t>Blue Ridge Community College</t>
  </si>
  <si>
    <t>C6F</t>
  </si>
  <si>
    <t>Brunswick Community College</t>
  </si>
  <si>
    <t>C7F</t>
  </si>
  <si>
    <t>Caldwell Community College and Tech Institute</t>
  </si>
  <si>
    <t>C8F</t>
  </si>
  <si>
    <t>Cape Fear Community College</t>
  </si>
  <si>
    <t>C9F</t>
  </si>
  <si>
    <t>Carteret Community College</t>
  </si>
  <si>
    <t>CAF</t>
  </si>
  <si>
    <t>Catawba Valley Community College</t>
  </si>
  <si>
    <t>CBF</t>
  </si>
  <si>
    <t>Central Carolina Community College</t>
  </si>
  <si>
    <t>CCF</t>
  </si>
  <si>
    <t>Central Piedmont Community College</t>
  </si>
  <si>
    <t>CDF</t>
  </si>
  <si>
    <t>Cleveland Community College</t>
  </si>
  <si>
    <t>CEF</t>
  </si>
  <si>
    <t>Coastal Carolina Community College</t>
  </si>
  <si>
    <t>CFF</t>
  </si>
  <si>
    <t>College of the Albemarle</t>
  </si>
  <si>
    <t>CGF</t>
  </si>
  <si>
    <t>Craven Community College</t>
  </si>
  <si>
    <t>CHF</t>
  </si>
  <si>
    <t>Davidson-Davie Community College</t>
  </si>
  <si>
    <t>CJF</t>
  </si>
  <si>
    <t>Durham Technical Community College</t>
  </si>
  <si>
    <t>CKF</t>
  </si>
  <si>
    <t>Edgecombe Community College</t>
  </si>
  <si>
    <t>CLF</t>
  </si>
  <si>
    <t>Fayetteville Technical Community College</t>
  </si>
  <si>
    <t>CMF</t>
  </si>
  <si>
    <t>Forsyth Technical Community College</t>
  </si>
  <si>
    <t>CNF</t>
  </si>
  <si>
    <t>Gaston College</t>
  </si>
  <si>
    <t>CPF</t>
  </si>
  <si>
    <t>Guilford Technical Community College</t>
  </si>
  <si>
    <t>CQF</t>
  </si>
  <si>
    <t>Halifax Community College</t>
  </si>
  <si>
    <t>CRF</t>
  </si>
  <si>
    <t>Haywood Community College</t>
  </si>
  <si>
    <t>CSF</t>
  </si>
  <si>
    <t>Isothermal Community College</t>
  </si>
  <si>
    <t>CTF</t>
  </si>
  <si>
    <t>James Sprunt Community College</t>
  </si>
  <si>
    <t>CUF</t>
  </si>
  <si>
    <t>Johnston Community College</t>
  </si>
  <si>
    <t>CVF</t>
  </si>
  <si>
    <t>Lenoir Community College</t>
  </si>
  <si>
    <t>CWF</t>
  </si>
  <si>
    <t>Martin Community College</t>
  </si>
  <si>
    <t>CXF</t>
  </si>
  <si>
    <t>Mayland Community College</t>
  </si>
  <si>
    <t>CYF</t>
  </si>
  <si>
    <t>McDowell Technical Community College</t>
  </si>
  <si>
    <t>CZF</t>
  </si>
  <si>
    <t>Mitchell Community College</t>
  </si>
  <si>
    <t>D0F</t>
  </si>
  <si>
    <t>Montgomery Community College</t>
  </si>
  <si>
    <t>D1F</t>
  </si>
  <si>
    <t>Nash Community College</t>
  </si>
  <si>
    <t>D2F</t>
  </si>
  <si>
    <t>Pamlico Community College</t>
  </si>
  <si>
    <t>D3F</t>
  </si>
  <si>
    <t>Piedmont Community College</t>
  </si>
  <si>
    <t>D4F</t>
  </si>
  <si>
    <t>Pitt Community College</t>
  </si>
  <si>
    <t>D5F</t>
  </si>
  <si>
    <t>Randolph Community College</t>
  </si>
  <si>
    <t>D6F</t>
  </si>
  <si>
    <t>Richmond Community College</t>
  </si>
  <si>
    <t>D7F</t>
  </si>
  <si>
    <t>Roanoke-Chowan Community College</t>
  </si>
  <si>
    <t>D8F</t>
  </si>
  <si>
    <t>Robeson Community College</t>
  </si>
  <si>
    <t>D9F</t>
  </si>
  <si>
    <t>Rockingham Community College</t>
  </si>
  <si>
    <t>DAF</t>
  </si>
  <si>
    <t>Rowan-Cabarrus Community College</t>
  </si>
  <si>
    <t>DBF</t>
  </si>
  <si>
    <t>Sampson Community College</t>
  </si>
  <si>
    <t>DCF</t>
  </si>
  <si>
    <t>Sandhills Community College</t>
  </si>
  <si>
    <t>DDF</t>
  </si>
  <si>
    <t>Southeastern Community College</t>
  </si>
  <si>
    <t xml:space="preserve">  </t>
  </si>
  <si>
    <t>DEF</t>
  </si>
  <si>
    <t>Southwestern Community College</t>
  </si>
  <si>
    <t>DFF</t>
  </si>
  <si>
    <t>Stanly Community College</t>
  </si>
  <si>
    <t>DGF</t>
  </si>
  <si>
    <t>Surry Community College</t>
  </si>
  <si>
    <t>DHF</t>
  </si>
  <si>
    <t>Tri-County Community College</t>
  </si>
  <si>
    <t>DJF</t>
  </si>
  <si>
    <t>Vance-Granville Community College</t>
  </si>
  <si>
    <t>DKF</t>
  </si>
  <si>
    <t>Wake Technical Community College</t>
  </si>
  <si>
    <t>DLF</t>
  </si>
  <si>
    <t>Wayne Community College</t>
  </si>
  <si>
    <t>DMF</t>
  </si>
  <si>
    <t>Western Piedmont Community College</t>
  </si>
  <si>
    <t>DNF</t>
  </si>
  <si>
    <t>Wilkes Community College</t>
  </si>
  <si>
    <t>DPF</t>
  </si>
  <si>
    <t>Wilson Community College</t>
  </si>
  <si>
    <t>Each year when the template is updated for the current year ACFR, the OSC team enters  the ending net position balances per the prior</t>
  </si>
  <si>
    <t>year workpapers into this worksheet.  This is the source for the total beginning net position balances on Exh B &amp; Exh E for the current</t>
  </si>
  <si>
    <t>year Foundation template.</t>
  </si>
  <si>
    <t>Note for OSC - Go to CC Foundations folder, ComboCCF file, highlight Net assets end of year, copy, paste special - values and transpose.</t>
  </si>
  <si>
    <t>updated 01/29/2025 -jrk</t>
  </si>
  <si>
    <t>NC Colleges</t>
  </si>
  <si>
    <t>Comm College Foundations  Combining File</t>
  </si>
  <si>
    <t>CC1F</t>
  </si>
  <si>
    <t>CC2F</t>
  </si>
  <si>
    <t>CC3F</t>
  </si>
  <si>
    <t>CC4F</t>
  </si>
  <si>
    <t>CC5F</t>
  </si>
  <si>
    <t>CC6F</t>
  </si>
  <si>
    <t>CC7F</t>
  </si>
  <si>
    <t>CC8F</t>
  </si>
  <si>
    <t>CC9F</t>
  </si>
  <si>
    <t>CC10F</t>
  </si>
  <si>
    <t>CC11F</t>
  </si>
  <si>
    <t>CC12F</t>
  </si>
  <si>
    <t>CC13F</t>
  </si>
  <si>
    <t>CC14F</t>
  </si>
  <si>
    <t>CC15F</t>
  </si>
  <si>
    <t>CC16F</t>
  </si>
  <si>
    <t>CC17F</t>
  </si>
  <si>
    <t>CC18F</t>
  </si>
  <si>
    <t>CC19F</t>
  </si>
  <si>
    <t>CC20F</t>
  </si>
  <si>
    <t>CC21F</t>
  </si>
  <si>
    <t>CC22F</t>
  </si>
  <si>
    <t>CC23F</t>
  </si>
  <si>
    <t>CC24F</t>
  </si>
  <si>
    <t>CC25F</t>
  </si>
  <si>
    <t>CC26F</t>
  </si>
  <si>
    <t>CC27F</t>
  </si>
  <si>
    <t>CC28F</t>
  </si>
  <si>
    <t>CC29F</t>
  </si>
  <si>
    <t>CC30F</t>
  </si>
  <si>
    <t>CC31F</t>
  </si>
  <si>
    <t>CC32F</t>
  </si>
  <si>
    <t>CC33F</t>
  </si>
  <si>
    <t>CC34F</t>
  </si>
  <si>
    <t>CC35F</t>
  </si>
  <si>
    <t>CC36F</t>
  </si>
  <si>
    <t>CC37F</t>
  </si>
  <si>
    <t>CC38F</t>
  </si>
  <si>
    <t>CC39F</t>
  </si>
  <si>
    <t>CC40F</t>
  </si>
  <si>
    <t>CC41F</t>
  </si>
  <si>
    <t>CC42F</t>
  </si>
  <si>
    <t>CC43F</t>
  </si>
  <si>
    <t>CC44F</t>
  </si>
  <si>
    <t>CC45F</t>
  </si>
  <si>
    <t>CC46F</t>
  </si>
  <si>
    <t>CC47F</t>
  </si>
  <si>
    <t>CC48F</t>
  </si>
  <si>
    <t>CC49F</t>
  </si>
  <si>
    <t>CC50F</t>
  </si>
  <si>
    <t>CC51F</t>
  </si>
  <si>
    <t>CC52F</t>
  </si>
  <si>
    <t>CC53F</t>
  </si>
  <si>
    <t>CC54F</t>
  </si>
  <si>
    <t>CC55F</t>
  </si>
  <si>
    <t>CC56F</t>
  </si>
  <si>
    <t>CC57F</t>
  </si>
  <si>
    <t>CC58F</t>
  </si>
  <si>
    <t>June 30, 2024</t>
  </si>
  <si>
    <t>Source - Filename: ComboCCF.xls</t>
  </si>
  <si>
    <t xml:space="preserve">For reference only </t>
  </si>
  <si>
    <t xml:space="preserve">Central </t>
  </si>
  <si>
    <t>College of</t>
  </si>
  <si>
    <t>Davidson-</t>
  </si>
  <si>
    <t>Roanoke-</t>
  </si>
  <si>
    <t>Rowan-</t>
  </si>
  <si>
    <t>Vance-</t>
  </si>
  <si>
    <t>GRAND</t>
  </si>
  <si>
    <t>Alamance</t>
  </si>
  <si>
    <t>S. Piedmont</t>
  </si>
  <si>
    <t>Asheville-Bun</t>
  </si>
  <si>
    <t>Beaufort</t>
  </si>
  <si>
    <t>Bladen</t>
  </si>
  <si>
    <t>Blue Ridge</t>
  </si>
  <si>
    <t>Brunswick</t>
  </si>
  <si>
    <t>Caldwell</t>
  </si>
  <si>
    <t>Cape Fear</t>
  </si>
  <si>
    <t>Carteret</t>
  </si>
  <si>
    <t>Catawba</t>
  </si>
  <si>
    <t>Carolina</t>
  </si>
  <si>
    <t>Piedmont</t>
  </si>
  <si>
    <t>Cleveland</t>
  </si>
  <si>
    <t>Coastal</t>
  </si>
  <si>
    <t>Albemarle</t>
  </si>
  <si>
    <t>Craven</t>
  </si>
  <si>
    <t>Davie</t>
  </si>
  <si>
    <t>Durham</t>
  </si>
  <si>
    <t>Edgecombe</t>
  </si>
  <si>
    <t>Fayetteville</t>
  </si>
  <si>
    <t>Forsyth</t>
  </si>
  <si>
    <t>Gaston</t>
  </si>
  <si>
    <t>Guilford</t>
  </si>
  <si>
    <t>Halifax</t>
  </si>
  <si>
    <t>Haywood</t>
  </si>
  <si>
    <t>Isothermal</t>
  </si>
  <si>
    <t>James Sprunt</t>
  </si>
  <si>
    <t>Johnston</t>
  </si>
  <si>
    <t>Lenoir</t>
  </si>
  <si>
    <t>Martin</t>
  </si>
  <si>
    <t>Mayland</t>
  </si>
  <si>
    <t>McDowell</t>
  </si>
  <si>
    <t>Mitchell</t>
  </si>
  <si>
    <t>Montgomery</t>
  </si>
  <si>
    <t>Nash</t>
  </si>
  <si>
    <t>Pamlico</t>
  </si>
  <si>
    <t>Pitt</t>
  </si>
  <si>
    <t>Randolph</t>
  </si>
  <si>
    <t>Richmond</t>
  </si>
  <si>
    <t>Chowan</t>
  </si>
  <si>
    <t>Robeson</t>
  </si>
  <si>
    <t>Rockingham</t>
  </si>
  <si>
    <t>Cabarrus</t>
  </si>
  <si>
    <t>Sampson</t>
  </si>
  <si>
    <t>Sandhills</t>
  </si>
  <si>
    <t>S. Eastern</t>
  </si>
  <si>
    <t>S. Western</t>
  </si>
  <si>
    <t>Stanly</t>
  </si>
  <si>
    <t>Surry</t>
  </si>
  <si>
    <t>Tri-County</t>
  </si>
  <si>
    <t>Granville</t>
  </si>
  <si>
    <t>Wake</t>
  </si>
  <si>
    <t>Wayne</t>
  </si>
  <si>
    <t>W. Piedmont</t>
  </si>
  <si>
    <t>Wilkes</t>
  </si>
  <si>
    <t>Wilson</t>
  </si>
  <si>
    <t>TOTAL</t>
  </si>
  <si>
    <t>Leases receivable,net</t>
  </si>
  <si>
    <r>
      <t xml:space="preserve">Due to the College </t>
    </r>
    <r>
      <rPr>
        <i/>
        <vertAlign val="superscript"/>
        <sz val="10"/>
        <rFont val="Arial"/>
        <family val="2"/>
      </rPr>
      <t>(1)</t>
    </r>
  </si>
  <si>
    <r>
      <t>Grants payable to the College</t>
    </r>
    <r>
      <rPr>
        <i/>
        <vertAlign val="superscript"/>
        <sz val="10"/>
        <rFont val="Arial"/>
        <family val="2"/>
      </rPr>
      <t xml:space="preserve"> (1)</t>
    </r>
  </si>
  <si>
    <t>Net invested in capital assets</t>
  </si>
  <si>
    <t>(1) Will be used in Elimination entry</t>
  </si>
  <si>
    <t>Source: Prior year OSC Foundation compilation WPs.</t>
  </si>
  <si>
    <t>Each year OSC ACFR team will update</t>
  </si>
  <si>
    <t>these balances. To update: use copy, paste special,</t>
  </si>
  <si>
    <t>choose values,  instead of bringing in links.</t>
  </si>
  <si>
    <t>Do one section at a time.</t>
  </si>
  <si>
    <t>Consider material reclass entries needed in the</t>
  </si>
  <si>
    <t>prior year for each college.</t>
  </si>
  <si>
    <t>updated 1/29/2025-jrk</t>
  </si>
  <si>
    <t>Comm College Foundations Combining File</t>
  </si>
  <si>
    <t>For reference only</t>
  </si>
  <si>
    <t>Miscellaneous non op revenue</t>
  </si>
  <si>
    <t>Payments to College - student tuition/fees</t>
  </si>
  <si>
    <r>
      <t xml:space="preserve">Payments to College - noncapital </t>
    </r>
    <r>
      <rPr>
        <i/>
        <vertAlign val="superscript"/>
        <sz val="10"/>
        <rFont val="Arial"/>
        <family val="2"/>
      </rPr>
      <t>(1)</t>
    </r>
  </si>
  <si>
    <r>
      <t xml:space="preserve">Payments to College - capital </t>
    </r>
    <r>
      <rPr>
        <i/>
        <vertAlign val="superscript"/>
        <sz val="10"/>
        <rFont val="Arial"/>
        <family val="2"/>
      </rPr>
      <t>(1)</t>
    </r>
  </si>
  <si>
    <t>these balances. To update: use copy, paste special</t>
  </si>
  <si>
    <t>File in: K\SASD\24CAFR\Statements\Component\Foundations\CCFoundations\ComboCCF-FY2024</t>
  </si>
  <si>
    <t>OSC Use only</t>
  </si>
  <si>
    <t>For list at 'Restatement' tab at column B</t>
  </si>
  <si>
    <t>Macro Read account</t>
  </si>
  <si>
    <t>For Reference</t>
  </si>
  <si>
    <t>FCCS Account</t>
  </si>
  <si>
    <t>R_Cash and cash equivalents</t>
  </si>
  <si>
    <t>R_Investments</t>
  </si>
  <si>
    <t>R_Accounts receivable</t>
  </si>
  <si>
    <t>R_Inventories</t>
  </si>
  <si>
    <t>R_Prepaid items</t>
  </si>
  <si>
    <t>R_Notes receivable</t>
  </si>
  <si>
    <t>R_Lease receivable</t>
  </si>
  <si>
    <t>LeaseObRec</t>
  </si>
  <si>
    <t>R_Restricted investments</t>
  </si>
  <si>
    <t>R_Nondepreciable assets</t>
  </si>
  <si>
    <t>R_Depreciable assets</t>
  </si>
  <si>
    <t>R_Accounts payable</t>
  </si>
  <si>
    <t>R_Interest rate swap fair value liability</t>
  </si>
  <si>
    <t xml:space="preserve">Due to the College </t>
  </si>
  <si>
    <t>R_Due to the College</t>
  </si>
  <si>
    <t xml:space="preserve">Grants payable to the College </t>
  </si>
  <si>
    <t>R_Grants Payable to the College</t>
  </si>
  <si>
    <t>R_Unearned revenue</t>
  </si>
  <si>
    <t>R_Accrued interest payable</t>
  </si>
  <si>
    <t>R_Deposits payable</t>
  </si>
  <si>
    <t>R_Funds held for others</t>
  </si>
  <si>
    <t>Split interest agreement obligations - Due in 1 year</t>
  </si>
  <si>
    <t>R_Split interest agreement obligations</t>
  </si>
  <si>
    <t>Split interest agreement obligations - Noncurrent</t>
  </si>
  <si>
    <t>R_Split interest agreement obligations_NC</t>
  </si>
  <si>
    <t>Annuities payable - Due in 1 year</t>
  </si>
  <si>
    <t>Annuities payable - Noncurrent</t>
  </si>
  <si>
    <t>R_Annuity &amp; life income payable_noncurrent</t>
  </si>
  <si>
    <t>Capital leases payable - Due in 1 year</t>
  </si>
  <si>
    <t>Capital leases payable - Noncurrent</t>
  </si>
  <si>
    <t>SBITA liability - Due in 1 year</t>
  </si>
  <si>
    <t>R_Subscription liability due in 1 year</t>
  </si>
  <si>
    <t>SBITA liability - Noncurrent</t>
  </si>
  <si>
    <t>R_Subscription liability_noncurrent</t>
  </si>
  <si>
    <t>Notes payable - Due in 1 year</t>
  </si>
  <si>
    <t>R_Notes payable</t>
  </si>
  <si>
    <t>Notes payable - Noncurrent</t>
  </si>
  <si>
    <t>R_Notes payable_noncurrent</t>
  </si>
  <si>
    <t>Bonds payable - Due in 1 year</t>
  </si>
  <si>
    <t>R_Bond &amp; similar debt payable</t>
  </si>
  <si>
    <t>Bonds payable - Noncurrent</t>
  </si>
  <si>
    <t>R_Noncapital gifts</t>
  </si>
  <si>
    <t>R_Other capital grants and contributions</t>
  </si>
  <si>
    <t>R_Contributions to endowments</t>
  </si>
  <si>
    <t>R_Unrestricted investment earnings</t>
  </si>
  <si>
    <t>R_Charges for services</t>
  </si>
  <si>
    <t>R_Gain on sale of capital assets</t>
  </si>
  <si>
    <t>R_Miscellaneous</t>
  </si>
  <si>
    <t>R_Payments to Community Colleges</t>
  </si>
  <si>
    <t>R_Total expenses</t>
  </si>
  <si>
    <t>Reasons</t>
  </si>
  <si>
    <t>ER - Error Corrections</t>
  </si>
  <si>
    <t>O - Change in Accounts Principle or Change to or in a Financial Reporting Entity</t>
  </si>
  <si>
    <t>431 Reasons for Error Corrections</t>
  </si>
  <si>
    <t>ER_Capital asset audit adj and other error corrections</t>
  </si>
  <si>
    <t>ER_Capital assets (prior year) entered after cut-off date</t>
  </si>
  <si>
    <t>ER_Capital assets - reclassification of asset type</t>
  </si>
  <si>
    <t>ER_Other asset audit adj and error corrections</t>
  </si>
  <si>
    <t>ER_Long-term liability audit adj and other error corrections</t>
  </si>
  <si>
    <t>ER_Other liability audit adj and error corrections</t>
  </si>
  <si>
    <t xml:space="preserve">ER_Revenues understated in prior year </t>
  </si>
  <si>
    <t>ER_Revenues overstated in prior year</t>
  </si>
  <si>
    <t>ER_Expenditures understated in prior year</t>
  </si>
  <si>
    <t>ER_Expenditures overstated in prior year</t>
  </si>
  <si>
    <t>O_Other change in accounting principle</t>
  </si>
  <si>
    <t>ER_Deferred outflows audit adj and other error corrections</t>
  </si>
  <si>
    <t>ER_Deferred inflow audit adj and other error corrections</t>
  </si>
  <si>
    <r>
      <rPr>
        <b/>
        <sz val="10"/>
        <rFont val="Arial"/>
        <family val="2"/>
      </rPr>
      <t>Background:</t>
    </r>
    <r>
      <rPr>
        <sz val="10"/>
        <rFont val="Arial"/>
        <family val="2"/>
      </rPr>
      <t xml:space="preserve"> This tab has been created since the fiscal year 2024 due to the  Implementation Guidance 2021-1 Sec 5.1 (Group Assets) and GASB 100 in FY 2024 - Accounting Changes and Error Corrections, foundation is required to report the detail of restatement for additional disclosure.</t>
    </r>
  </si>
  <si>
    <t>2. Select an account(s) that is(are) affected by the restatements for 1) Balance Sheet at row B and/or C and 2) Operating Statement at row D and/or E, or Restated Beginning Balance of Net Position at row F. 'Enter the beginning balance (column 1) and the restatement amount (column 2).</t>
  </si>
  <si>
    <r>
      <rPr>
        <sz val="10"/>
        <color rgb="FF7030A0"/>
        <rFont val="Arial"/>
        <family val="2"/>
      </rPr>
      <t>Note: if the restatement doesn't fall under Change in Accounting Principles/Financial Reporting categary, please choose "Error Correction" category which is a broad term including audit adjustment.</t>
    </r>
    <r>
      <rPr>
        <sz val="10"/>
        <rFont val="Arial"/>
        <family val="2"/>
      </rPr>
      <t xml:space="preserve"> At column 5 Choose a type of restatement under "ER" or "O" category.</t>
    </r>
  </si>
  <si>
    <t>Not used on Foundation Template</t>
  </si>
  <si>
    <t>Beginning Bal</t>
  </si>
  <si>
    <t>Account (1)</t>
  </si>
  <si>
    <t>Account (2)</t>
  </si>
  <si>
    <t>Column 4 - Reason (1)</t>
  </si>
  <si>
    <t>Add Net Position Classification (if applicable)</t>
  </si>
  <si>
    <t>R_Annuity and life income payable due in 1 year</t>
  </si>
  <si>
    <t>R_Bond &amp; similar debt payable_NC</t>
  </si>
  <si>
    <t>R_Lease liability due in 1 year</t>
  </si>
  <si>
    <t>R_Lease liability_noncurrent</t>
  </si>
  <si>
    <t>O_GASB 101 Compensated absences</t>
  </si>
  <si>
    <r>
      <t xml:space="preserve">Interest receivable, net </t>
    </r>
    <r>
      <rPr>
        <sz val="10"/>
        <color rgb="FFFF0000"/>
        <rFont val="Arial"/>
        <family val="2"/>
      </rPr>
      <t>(NEW FY2025)</t>
    </r>
  </si>
  <si>
    <r>
      <t xml:space="preserve">Interest Receivable </t>
    </r>
    <r>
      <rPr>
        <sz val="8"/>
        <color rgb="FFFF0000"/>
        <rFont val="Arial"/>
        <family val="2"/>
      </rPr>
      <t>(NEW FY2025)</t>
    </r>
  </si>
  <si>
    <r>
      <t xml:space="preserve">Balances as of July 1, 2024 
</t>
    </r>
    <r>
      <rPr>
        <b/>
        <sz val="10"/>
        <color theme="5"/>
        <rFont val="Arial"/>
        <family val="2"/>
      </rPr>
      <t>as Restated</t>
    </r>
  </si>
  <si>
    <t>Column 54- Reason (2)</t>
  </si>
  <si>
    <t>Column 5 - Explanation</t>
  </si>
  <si>
    <r>
      <t xml:space="preserve">Compensated absences </t>
    </r>
    <r>
      <rPr>
        <sz val="8"/>
        <color rgb="FFFF0000"/>
        <rFont val="Arial"/>
        <family val="2"/>
      </rPr>
      <t>(New FY 2025)</t>
    </r>
  </si>
  <si>
    <t>** Compensated absences - Noncurrent</t>
  </si>
  <si>
    <t>Compensated absences - Due in 1 year</t>
  </si>
  <si>
    <t>Compensated absences - Noncurrent</t>
  </si>
  <si>
    <t>R_Compensated absences due in 1 year</t>
  </si>
  <si>
    <t>R_Compensated absences_noncurrent</t>
  </si>
  <si>
    <t>New FY2025</t>
  </si>
  <si>
    <r>
      <t xml:space="preserve">Compensated absences </t>
    </r>
    <r>
      <rPr>
        <b/>
        <sz val="10"/>
        <color rgb="FFFF0000"/>
        <rFont val="Arial"/>
        <family val="2"/>
      </rPr>
      <t>(NEW FY2025)</t>
    </r>
  </si>
  <si>
    <t>EXAMPLE for GASB 101 Compenstated absences</t>
  </si>
  <si>
    <t>Decrease in net position due to GASB 101 implementation.</t>
  </si>
  <si>
    <t>Increase in liabillity due to GASB 101 implementation.</t>
  </si>
  <si>
    <r>
      <rPr>
        <b/>
        <u/>
        <sz val="10"/>
        <color theme="5" tint="-0.249977111117893"/>
        <rFont val="Arial"/>
        <family val="2"/>
      </rPr>
      <t>FY2025 update:</t>
    </r>
    <r>
      <rPr>
        <sz val="10"/>
        <color theme="5" tint="-0.249977111117893"/>
        <rFont val="Arial"/>
        <family val="2"/>
      </rPr>
      <t xml:space="preserve"> In FY2025 GASB 101 compensated absences is implemented. This template includes compensated absences restatement. See example at 'Restatement GASB 101 example' tab.</t>
    </r>
  </si>
  <si>
    <r>
      <t xml:space="preserve">John Krellner at </t>
    </r>
    <r>
      <rPr>
        <b/>
        <sz val="10"/>
        <rFont val="Arial"/>
        <family val="2"/>
      </rPr>
      <t>John.Krellner@ncosc.gov.</t>
    </r>
  </si>
  <si>
    <t>Total Net Position effect - Should agree to Total Restatements at Exhibit B and E</t>
  </si>
  <si>
    <t>Package Updates made after April 30, 2025</t>
  </si>
  <si>
    <t>Revised 4/30/2025</t>
  </si>
  <si>
    <t>Explanation (Refer to instruction at 430 narrative - Accounting Changes and Error Corrections) on OSC website</t>
  </si>
  <si>
    <r>
      <rPr>
        <b/>
        <sz val="10"/>
        <rFont val="Arial"/>
        <family val="2"/>
      </rPr>
      <t>Background:</t>
    </r>
    <r>
      <rPr>
        <sz val="10"/>
        <rFont val="Arial"/>
        <family val="2"/>
      </rPr>
      <t xml:space="preserve"> This tab has been created since the fiscal year 2024 due to the Implementation Guidance 2021-1 Sec 5.1 (Group Assets) and GASB 100 in FY 2024 - Accounting Changes and Error Corrections, foundation is required to report the detail of restatement for additional disclosure.</t>
    </r>
  </si>
  <si>
    <t>602 Capital gift revenues recognized by College</t>
  </si>
  <si>
    <t>200 Interest rate swap fair value liability</t>
  </si>
  <si>
    <t>Exh D</t>
  </si>
  <si>
    <t>Corrected the formula on Interest Rec Nec for prior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</si>
</sst>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0.00_);\(#,##0.00\);* \ \-\ \ \ \ \ "/>
    <numFmt numFmtId="166" formatCode="* #,###\ ;* \(#,###\);* \-\ \ \ \ \ \ "/>
    <numFmt numFmtId="167" formatCode="&quot;$&quot;* #,###\ ;&quot;$&quot;* \(#,###\);&quot;$&quot;* \-\ \ \ \ \ \ "/>
    <numFmt numFmtId="168" formatCode="* #,###\ ;* \(#,###\);\ \ @*."/>
    <numFmt numFmtId="169" formatCode="* #,###\ ;* \(#,###\);@*."/>
    <numFmt numFmtId="170" formatCode="mmmm\ d\,\ yyyy"/>
    <numFmt numFmtId="171" formatCode="0.00%\ ;\(0.00\)%"/>
    <numFmt numFmtId="172" formatCode="#,##0.00_);\(#,##0.00\);\—\ \ \ \ \ \ "/>
    <numFmt numFmtId="173" formatCode="#,##0_);\(#,##0\);* \ \-\ \ \ \ \ "/>
    <numFmt numFmtId="174" formatCode="_(* #,##0_);_(* \(#,##0\);_(* &quot;-&quot;??_);_(@_)"/>
    <numFmt numFmtId="175" formatCode="#,##0_);\(#,##0\);&quot;-       &quot;"/>
    <numFmt numFmtId="176" formatCode="mm/dd/yy;@"/>
  </numFmts>
  <fonts count="78" x14ac:knownFonts="1">
    <font>
      <sz val="10"/>
      <name val="Arial"/>
    </font>
    <font>
      <sz val="10"/>
      <name val="Arial"/>
      <family val="2"/>
    </font>
    <font>
      <b/>
      <sz val="10"/>
      <name val="Arial"/>
      <family val="2"/>
    </font>
    <font>
      <sz val="12"/>
      <name val="Arial"/>
      <family val="2"/>
    </font>
    <font>
      <sz val="10"/>
      <name val="Arial"/>
      <family val="2"/>
    </font>
    <font>
      <u/>
      <sz val="10"/>
      <name val="Arial"/>
      <family val="2"/>
    </font>
    <font>
      <i/>
      <sz val="10"/>
      <name val="Arial"/>
      <family val="2"/>
    </font>
    <font>
      <b/>
      <vertAlign val="superscript"/>
      <sz val="10"/>
      <name val="Arial"/>
      <family val="2"/>
    </font>
    <font>
      <u/>
      <vertAlign val="superscript"/>
      <sz val="10"/>
      <name val="Arial"/>
      <family val="2"/>
    </font>
    <font>
      <sz val="8"/>
      <name val="Arial"/>
      <family val="2"/>
    </font>
    <font>
      <b/>
      <sz val="10"/>
      <color indexed="12"/>
      <name val="Arial"/>
      <family val="2"/>
    </font>
    <font>
      <vertAlign val="superscript"/>
      <sz val="10"/>
      <name val="Arial"/>
      <family val="2"/>
    </font>
    <font>
      <b/>
      <sz val="12"/>
      <name val="Arial"/>
      <family val="2"/>
    </font>
    <font>
      <i/>
      <sz val="10"/>
      <color indexed="12"/>
      <name val="Arial"/>
      <family val="2"/>
    </font>
    <font>
      <b/>
      <u/>
      <sz val="10"/>
      <name val="Arial"/>
      <family val="2"/>
    </font>
    <font>
      <b/>
      <sz val="11"/>
      <name val="Arial"/>
      <family val="2"/>
    </font>
    <font>
      <b/>
      <sz val="9"/>
      <color indexed="12"/>
      <name val="Arial"/>
      <family val="2"/>
    </font>
    <font>
      <sz val="9"/>
      <name val="Arial"/>
      <family val="2"/>
    </font>
    <font>
      <b/>
      <u/>
      <vertAlign val="superscript"/>
      <sz val="10"/>
      <name val="Arial"/>
      <family val="2"/>
    </font>
    <font>
      <b/>
      <sz val="8"/>
      <name val="Arial"/>
      <family val="2"/>
    </font>
    <font>
      <sz val="8"/>
      <name val="Arial"/>
      <family val="2"/>
    </font>
    <font>
      <vertAlign val="superscript"/>
      <sz val="8"/>
      <name val="Arial"/>
      <family val="2"/>
    </font>
    <font>
      <i/>
      <sz val="8"/>
      <name val="Arial"/>
      <family val="2"/>
    </font>
    <font>
      <b/>
      <sz val="10"/>
      <color indexed="10"/>
      <name val="Arial"/>
      <family val="2"/>
    </font>
    <font>
      <sz val="10"/>
      <color indexed="12"/>
      <name val="Arial"/>
      <family val="2"/>
    </font>
    <font>
      <i/>
      <sz val="10"/>
      <name val="Arial"/>
      <family val="2"/>
    </font>
    <font>
      <sz val="12"/>
      <name val="Book Antiqua"/>
      <family val="1"/>
    </font>
    <font>
      <b/>
      <sz val="12"/>
      <name val="Book Antiqua"/>
      <family val="1"/>
    </font>
    <font>
      <sz val="10"/>
      <name val="Book Antiqua"/>
      <family val="1"/>
    </font>
    <font>
      <sz val="10"/>
      <name val="Arial Narrow"/>
      <family val="2"/>
    </font>
    <font>
      <b/>
      <sz val="8"/>
      <color indexed="12"/>
      <name val="Arial"/>
      <family val="2"/>
    </font>
    <font>
      <sz val="8"/>
      <name val="Arial Narrow"/>
      <family val="2"/>
    </font>
    <font>
      <b/>
      <sz val="8"/>
      <name val="Arial Narrow"/>
      <family val="2"/>
    </font>
    <font>
      <i/>
      <sz val="8"/>
      <name val="Arial Narrow"/>
      <family val="2"/>
    </font>
    <font>
      <i/>
      <vertAlign val="superscript"/>
      <sz val="10"/>
      <name val="Arial"/>
      <family val="2"/>
    </font>
    <font>
      <sz val="8"/>
      <name val="Arial"/>
      <family val="2"/>
    </font>
    <font>
      <sz val="8"/>
      <name val="Arial"/>
      <family val="2"/>
    </font>
    <font>
      <sz val="8"/>
      <name val="Arial"/>
      <family val="2"/>
    </font>
    <font>
      <sz val="8"/>
      <color rgb="FF000080"/>
      <name val="Arial Narrow"/>
      <family val="2"/>
    </font>
    <font>
      <b/>
      <sz val="10"/>
      <color rgb="FF7030A0"/>
      <name val="Arial"/>
      <family val="2"/>
    </font>
    <font>
      <sz val="10"/>
      <color rgb="FF7030A0"/>
      <name val="Arial"/>
      <family val="2"/>
    </font>
    <font>
      <sz val="6"/>
      <name val="Calibri"/>
      <family val="2"/>
      <scheme val="minor"/>
    </font>
    <font>
      <b/>
      <sz val="10"/>
      <color rgb="FFFF0000"/>
      <name val="Arial"/>
      <family val="2"/>
    </font>
    <font>
      <sz val="10"/>
      <color rgb="FFFF0000"/>
      <name val="Arial"/>
      <family val="2"/>
    </font>
    <font>
      <b/>
      <sz val="9"/>
      <color rgb="FFFF0000"/>
      <name val="Arial"/>
      <family val="2"/>
    </font>
    <font>
      <sz val="8"/>
      <name val="Arial"/>
      <family val="2"/>
    </font>
    <font>
      <sz val="10"/>
      <color rgb="FF0066FF"/>
      <name val="Arial"/>
      <family val="2"/>
    </font>
    <font>
      <sz val="11"/>
      <name val="Calibri"/>
      <family val="2"/>
    </font>
    <font>
      <b/>
      <sz val="10"/>
      <color rgb="FF0066FF"/>
      <name val="Arial"/>
      <family val="2"/>
    </font>
    <font>
      <sz val="10"/>
      <color theme="1"/>
      <name val="Arial"/>
      <family val="2"/>
    </font>
    <font>
      <sz val="8"/>
      <color theme="1"/>
      <name val="Arial"/>
      <family val="2"/>
    </font>
    <font>
      <b/>
      <sz val="10"/>
      <color theme="1"/>
      <name val="Arial"/>
      <family val="2"/>
    </font>
    <font>
      <b/>
      <sz val="14"/>
      <name val="Times New Roman"/>
      <family val="1"/>
    </font>
    <font>
      <u/>
      <sz val="10"/>
      <color indexed="12"/>
      <name val="Arial"/>
      <family val="2"/>
    </font>
    <font>
      <b/>
      <sz val="12"/>
      <color indexed="12"/>
      <name val="Arial"/>
      <family val="2"/>
    </font>
    <font>
      <sz val="11"/>
      <name val="Arial"/>
      <family val="2"/>
    </font>
    <font>
      <sz val="10"/>
      <name val="Arial"/>
      <family val="2"/>
    </font>
    <font>
      <b/>
      <sz val="18"/>
      <color rgb="FFFF0000"/>
      <name val="Arial"/>
      <family val="2"/>
    </font>
    <font>
      <b/>
      <sz val="10"/>
      <color theme="0"/>
      <name val="Arial"/>
      <family val="2"/>
    </font>
    <font>
      <sz val="18"/>
      <color rgb="FFFF0000"/>
      <name val="Arial"/>
      <family val="2"/>
    </font>
    <font>
      <sz val="12"/>
      <name val="Times New Roman"/>
      <family val="1"/>
    </font>
    <font>
      <b/>
      <sz val="12"/>
      <name val="Times New Roman"/>
      <family val="1"/>
    </font>
    <font>
      <sz val="9.75"/>
      <name val="Helv"/>
    </font>
    <font>
      <sz val="10"/>
      <color rgb="FF0000FF"/>
      <name val="Helv"/>
    </font>
    <font>
      <sz val="12"/>
      <name val="Aptos"/>
      <family val="2"/>
    </font>
    <font>
      <b/>
      <sz val="9"/>
      <color indexed="81"/>
      <name val="Tahoma"/>
      <family val="2"/>
    </font>
    <font>
      <sz val="9"/>
      <color indexed="81"/>
      <name val="Tahoma"/>
      <family val="2"/>
    </font>
    <font>
      <u/>
      <sz val="10"/>
      <color rgb="FF7030A0"/>
      <name val="Arial"/>
      <family val="2"/>
    </font>
    <font>
      <sz val="12"/>
      <color rgb="FFFF0000"/>
      <name val="Aptos"/>
      <family val="2"/>
    </font>
    <font>
      <b/>
      <sz val="8"/>
      <color rgb="FFFF0000"/>
      <name val="Arial"/>
      <family val="2"/>
    </font>
    <font>
      <sz val="14"/>
      <color theme="5" tint="-0.249977111117893"/>
      <name val="Arial"/>
      <family val="2"/>
    </font>
    <font>
      <b/>
      <sz val="10"/>
      <color theme="5" tint="-0.249977111117893"/>
      <name val="Arial"/>
      <family val="2"/>
    </font>
    <font>
      <sz val="10"/>
      <name val="MS Sans Serif"/>
      <family val="2"/>
    </font>
    <font>
      <sz val="8"/>
      <color rgb="FFFF0000"/>
      <name val="Arial"/>
      <family val="2"/>
    </font>
    <font>
      <b/>
      <sz val="10"/>
      <color theme="5"/>
      <name val="Arial"/>
      <family val="2"/>
    </font>
    <font>
      <b/>
      <sz val="16"/>
      <color rgb="FFFF0000"/>
      <name val="Arial"/>
      <family val="2"/>
    </font>
    <font>
      <sz val="10"/>
      <color theme="5" tint="-0.249977111117893"/>
      <name val="Arial"/>
      <family val="2"/>
    </font>
    <font>
      <b/>
      <u/>
      <sz val="10"/>
      <color theme="5" tint="-0.249977111117893"/>
      <name val="Arial"/>
      <family val="2"/>
    </font>
  </fonts>
  <fills count="2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rgb="FFCCFFCC"/>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gray125">
        <bgColor theme="0" tint="-0.14996795556505021"/>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s>
  <borders count="23">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9">
    <xf numFmtId="0" fontId="0" fillId="0" borderId="0"/>
    <xf numFmtId="43" fontId="1" fillId="0" borderId="0" applyFont="0" applyFill="0" applyBorder="0" applyAlignment="0" applyProtection="0"/>
    <xf numFmtId="0" fontId="25" fillId="0" borderId="1">
      <alignment horizontal="right"/>
      <protection locked="0"/>
    </xf>
    <xf numFmtId="0" fontId="26" fillId="0" borderId="2" applyBorder="0">
      <protection locked="0"/>
    </xf>
    <xf numFmtId="0" fontId="27" fillId="0" borderId="0">
      <protection locked="0"/>
    </xf>
    <xf numFmtId="15" fontId="28" fillId="0" borderId="1" applyNumberFormat="0" applyBorder="0">
      <protection locked="0"/>
    </xf>
    <xf numFmtId="166" fontId="35" fillId="0" borderId="0">
      <protection locked="0"/>
    </xf>
    <xf numFmtId="166" fontId="9" fillId="0" borderId="0">
      <protection locked="0"/>
    </xf>
    <xf numFmtId="166" fontId="36" fillId="0" borderId="0">
      <protection locked="0"/>
    </xf>
    <xf numFmtId="166" fontId="37" fillId="0" borderId="0">
      <protection locked="0"/>
    </xf>
    <xf numFmtId="166" fontId="20" fillId="0" borderId="0">
      <protection locked="0"/>
    </xf>
    <xf numFmtId="167" fontId="20" fillId="0" borderId="0">
      <protection locked="0"/>
    </xf>
    <xf numFmtId="166" fontId="20" fillId="0" borderId="0">
      <protection locked="0"/>
    </xf>
    <xf numFmtId="167" fontId="20" fillId="0" borderId="3">
      <protection locked="0"/>
    </xf>
    <xf numFmtId="166" fontId="20" fillId="0" borderId="4">
      <protection locked="0"/>
    </xf>
    <xf numFmtId="165" fontId="20" fillId="0" borderId="0"/>
    <xf numFmtId="165" fontId="9" fillId="0" borderId="0"/>
    <xf numFmtId="165" fontId="20" fillId="0" borderId="3"/>
    <xf numFmtId="165" fontId="9" fillId="0" borderId="3"/>
    <xf numFmtId="165" fontId="20" fillId="0" borderId="4"/>
    <xf numFmtId="165" fontId="9" fillId="0" borderId="4"/>
    <xf numFmtId="166" fontId="45" fillId="0" borderId="0">
      <protection locked="0"/>
    </xf>
    <xf numFmtId="0" fontId="1" fillId="0" borderId="0"/>
    <xf numFmtId="0" fontId="53" fillId="0" borderId="0" applyNumberFormat="0" applyFill="0" applyBorder="0" applyAlignment="0" applyProtection="0">
      <alignment vertical="top"/>
      <protection locked="0"/>
    </xf>
    <xf numFmtId="44" fontId="56" fillId="0" borderId="0" applyFont="0" applyFill="0" applyBorder="0" applyAlignment="0" applyProtection="0"/>
    <xf numFmtId="0" fontId="62" fillId="0" borderId="0"/>
    <xf numFmtId="0" fontId="72" fillId="0" borderId="0"/>
    <xf numFmtId="0" fontId="72" fillId="0" borderId="0"/>
    <xf numFmtId="0" fontId="72" fillId="0" borderId="0"/>
  </cellStyleXfs>
  <cellXfs count="389">
    <xf numFmtId="0" fontId="0" fillId="0" borderId="0" xfId="0"/>
    <xf numFmtId="0" fontId="2" fillId="0" borderId="0" xfId="0" applyFont="1"/>
    <xf numFmtId="0" fontId="0" fillId="0" borderId="0" xfId="0" applyAlignment="1">
      <alignment horizontal="left" indent="2"/>
    </xf>
    <xf numFmtId="0" fontId="0" fillId="0" borderId="0" xfId="0" applyAlignment="1">
      <alignment horizontal="left" indent="1"/>
    </xf>
    <xf numFmtId="0" fontId="0" fillId="0" borderId="1" xfId="0" applyBorder="1" applyAlignment="1">
      <alignment horizontal="center"/>
    </xf>
    <xf numFmtId="0" fontId="3" fillId="0" borderId="0" xfId="0" applyFont="1"/>
    <xf numFmtId="41" fontId="0" fillId="0" borderId="0" xfId="1" applyNumberFormat="1" applyFont="1"/>
    <xf numFmtId="41" fontId="0" fillId="0" borderId="1" xfId="1" applyNumberFormat="1" applyFont="1" applyBorder="1"/>
    <xf numFmtId="41" fontId="0" fillId="0" borderId="4" xfId="1" applyNumberFormat="1" applyFont="1" applyBorder="1"/>
    <xf numFmtId="42" fontId="0" fillId="0" borderId="0" xfId="1" applyNumberFormat="1" applyFont="1"/>
    <xf numFmtId="41" fontId="0" fillId="0" borderId="1" xfId="0" applyNumberFormat="1" applyBorder="1"/>
    <xf numFmtId="42" fontId="0" fillId="0" borderId="3" xfId="0" applyNumberFormat="1" applyBorder="1"/>
    <xf numFmtId="41" fontId="0" fillId="0" borderId="0" xfId="0" applyNumberFormat="1"/>
    <xf numFmtId="0" fontId="4" fillId="0" borderId="0" xfId="0" applyFont="1"/>
    <xf numFmtId="0" fontId="0" fillId="2" borderId="0" xfId="0" applyFill="1"/>
    <xf numFmtId="0" fontId="2" fillId="2" borderId="0" xfId="0" applyFont="1" applyFill="1" applyAlignment="1">
      <alignment horizontal="left"/>
    </xf>
    <xf numFmtId="0" fontId="0" fillId="2" borderId="0" xfId="0" applyFill="1" applyAlignment="1">
      <alignment horizontal="left" indent="1"/>
    </xf>
    <xf numFmtId="0" fontId="0" fillId="2" borderId="0" xfId="0" applyFill="1" applyAlignment="1">
      <alignment horizontal="left" indent="2"/>
    </xf>
    <xf numFmtId="41" fontId="0" fillId="2" borderId="0" xfId="0" applyNumberFormat="1" applyFill="1"/>
    <xf numFmtId="41" fontId="0" fillId="2" borderId="1" xfId="0" applyNumberFormat="1" applyFill="1" applyBorder="1"/>
    <xf numFmtId="41" fontId="0" fillId="0" borderId="4" xfId="0" applyNumberFormat="1" applyBorder="1"/>
    <xf numFmtId="0" fontId="2" fillId="2" borderId="0" xfId="0" applyFont="1" applyFill="1"/>
    <xf numFmtId="0" fontId="6" fillId="0" borderId="0" xfId="0" applyFont="1"/>
    <xf numFmtId="0" fontId="0" fillId="0" borderId="0" xfId="0" applyAlignment="1">
      <alignment horizontal="left" indent="3"/>
    </xf>
    <xf numFmtId="0" fontId="5" fillId="0" borderId="0" xfId="0" applyFont="1"/>
    <xf numFmtId="0" fontId="0" fillId="0" borderId="0" xfId="0" applyAlignment="1">
      <alignment horizontal="left"/>
    </xf>
    <xf numFmtId="0" fontId="0" fillId="0" borderId="0" xfId="0" applyAlignment="1">
      <alignment horizontal="center"/>
    </xf>
    <xf numFmtId="42" fontId="0" fillId="0" borderId="0" xfId="0" applyNumberFormat="1"/>
    <xf numFmtId="0" fontId="5" fillId="2" borderId="0" xfId="0" applyFont="1" applyFill="1" applyAlignment="1">
      <alignment horizontal="left"/>
    </xf>
    <xf numFmtId="42" fontId="0" fillId="2" borderId="0" xfId="0" applyNumberFormat="1" applyFill="1"/>
    <xf numFmtId="0" fontId="2" fillId="0" borderId="0" xfId="0" applyFont="1" applyAlignment="1">
      <alignment horizontal="right"/>
    </xf>
    <xf numFmtId="0" fontId="9" fillId="0" borderId="0" xfId="0" applyFont="1"/>
    <xf numFmtId="0" fontId="9" fillId="0" borderId="0" xfId="0" applyFont="1" applyAlignment="1">
      <alignment horizontal="center"/>
    </xf>
    <xf numFmtId="0" fontId="9" fillId="0" borderId="0" xfId="0" quotePrefix="1" applyFont="1" applyAlignment="1">
      <alignment horizontal="center"/>
    </xf>
    <xf numFmtId="0" fontId="10" fillId="0" borderId="0" xfId="0" applyFont="1" applyAlignment="1">
      <alignment horizontal="center"/>
    </xf>
    <xf numFmtId="41" fontId="0" fillId="0" borderId="4" xfId="0" applyNumberFormat="1" applyBorder="1" applyAlignment="1">
      <alignment horizontal="center"/>
    </xf>
    <xf numFmtId="0" fontId="0" fillId="0" borderId="0" xfId="0" quotePrefix="1" applyAlignment="1">
      <alignment horizontal="center"/>
    </xf>
    <xf numFmtId="0" fontId="12" fillId="0" borderId="0" xfId="0" applyFont="1" applyAlignment="1">
      <alignment horizontal="center"/>
    </xf>
    <xf numFmtId="15" fontId="12" fillId="0" borderId="0" xfId="0" quotePrefix="1" applyNumberFormat="1" applyFont="1" applyAlignment="1">
      <alignment horizontal="center"/>
    </xf>
    <xf numFmtId="15" fontId="2" fillId="0" borderId="0" xfId="0" quotePrefix="1" applyNumberFormat="1" applyFont="1" applyAlignment="1">
      <alignment horizontal="center"/>
    </xf>
    <xf numFmtId="0" fontId="9" fillId="0" borderId="1" xfId="0" applyFont="1" applyBorder="1" applyAlignment="1">
      <alignment horizontal="center"/>
    </xf>
    <xf numFmtId="15" fontId="3" fillId="0" borderId="0" xfId="0" quotePrefix="1" applyNumberFormat="1" applyFont="1" applyAlignment="1">
      <alignment horizontal="center"/>
    </xf>
    <xf numFmtId="0" fontId="16" fillId="0" borderId="0" xfId="0" applyFont="1" applyAlignment="1">
      <alignment horizontal="center"/>
    </xf>
    <xf numFmtId="0" fontId="17" fillId="0" borderId="0" xfId="0" applyFont="1"/>
    <xf numFmtId="0" fontId="17" fillId="0" borderId="0" xfId="0" applyFont="1" applyAlignment="1">
      <alignment horizontal="center"/>
    </xf>
    <xf numFmtId="0" fontId="2" fillId="0" borderId="0" xfId="0" applyFont="1" applyAlignment="1">
      <alignment horizontal="center"/>
    </xf>
    <xf numFmtId="0" fontId="0" fillId="0" borderId="0" xfId="0" quotePrefix="1"/>
    <xf numFmtId="42" fontId="0" fillId="0" borderId="0" xfId="1" applyNumberFormat="1" applyFont="1" applyProtection="1">
      <protection locked="0"/>
    </xf>
    <xf numFmtId="41" fontId="0" fillId="0" borderId="0" xfId="1" applyNumberFormat="1" applyFont="1" applyProtection="1">
      <protection locked="0"/>
    </xf>
    <xf numFmtId="41" fontId="0" fillId="0" borderId="1" xfId="1" applyNumberFormat="1" applyFont="1" applyBorder="1" applyProtection="1">
      <protection locked="0"/>
    </xf>
    <xf numFmtId="41" fontId="0" fillId="0" borderId="0" xfId="0" applyNumberFormat="1" applyProtection="1">
      <protection locked="0"/>
    </xf>
    <xf numFmtId="41" fontId="0" fillId="0" borderId="1" xfId="0" applyNumberFormat="1" applyBorder="1" applyProtection="1">
      <protection locked="0"/>
    </xf>
    <xf numFmtId="0" fontId="0" fillId="0" borderId="0" xfId="0" applyProtection="1">
      <protection locked="0"/>
    </xf>
    <xf numFmtId="164" fontId="0" fillId="0" borderId="1" xfId="0" applyNumberFormat="1" applyBorder="1" applyAlignment="1" applyProtection="1">
      <alignment horizontal="center"/>
      <protection locked="0"/>
    </xf>
    <xf numFmtId="0" fontId="2" fillId="3" borderId="0" xfId="0" applyFont="1" applyFill="1" applyAlignment="1">
      <alignment horizontal="left"/>
    </xf>
    <xf numFmtId="0" fontId="22" fillId="0" borderId="0" xfId="0" applyFont="1"/>
    <xf numFmtId="0" fontId="2" fillId="0" borderId="0" xfId="0" applyFont="1" applyAlignment="1">
      <alignment horizontal="left"/>
    </xf>
    <xf numFmtId="41" fontId="0" fillId="2" borderId="0" xfId="0" applyNumberFormat="1" applyFill="1" applyAlignment="1">
      <alignment horizontal="right"/>
    </xf>
    <xf numFmtId="0" fontId="0" fillId="2" borderId="0" xfId="0" applyFill="1" applyAlignment="1">
      <alignment horizontal="right"/>
    </xf>
    <xf numFmtId="41" fontId="0" fillId="2" borderId="4" xfId="0" applyNumberFormat="1" applyFill="1" applyBorder="1"/>
    <xf numFmtId="41" fontId="24" fillId="4" borderId="0" xfId="1" applyNumberFormat="1" applyFont="1" applyFill="1"/>
    <xf numFmtId="166" fontId="20" fillId="0" borderId="0" xfId="10" applyProtection="1"/>
    <xf numFmtId="170" fontId="2" fillId="0" borderId="0" xfId="10" applyNumberFormat="1" applyFont="1" applyAlignment="1" applyProtection="1">
      <alignment horizontal="center"/>
    </xf>
    <xf numFmtId="166" fontId="2" fillId="0" borderId="0" xfId="10" applyFont="1" applyAlignment="1" applyProtection="1">
      <alignment horizontal="center"/>
    </xf>
    <xf numFmtId="166" fontId="29" fillId="0" borderId="0" xfId="10" applyFont="1" applyProtection="1"/>
    <xf numFmtId="4" fontId="2" fillId="0" borderId="0" xfId="10" applyNumberFormat="1" applyFont="1" applyAlignment="1" applyProtection="1">
      <alignment horizontal="center"/>
    </xf>
    <xf numFmtId="166" fontId="2" fillId="0" borderId="1" xfId="10" applyFont="1" applyBorder="1" applyAlignment="1" applyProtection="1">
      <alignment horizontal="center"/>
    </xf>
    <xf numFmtId="4" fontId="2" fillId="0" borderId="1" xfId="10" applyNumberFormat="1" applyFont="1" applyBorder="1" applyAlignment="1" applyProtection="1">
      <alignment horizontal="center"/>
    </xf>
    <xf numFmtId="3" fontId="20" fillId="0" borderId="0" xfId="10" applyNumberFormat="1" applyProtection="1"/>
    <xf numFmtId="4" fontId="20" fillId="0" borderId="0" xfId="10" applyNumberFormat="1" applyProtection="1"/>
    <xf numFmtId="0" fontId="30" fillId="0" borderId="0" xfId="0" applyFont="1" applyAlignment="1">
      <alignment horizontal="center"/>
    </xf>
    <xf numFmtId="3" fontId="1" fillId="0" borderId="3" xfId="10" applyNumberFormat="1" applyFont="1" applyBorder="1" applyProtection="1"/>
    <xf numFmtId="3" fontId="1" fillId="0" borderId="0" xfId="10" applyNumberFormat="1" applyFont="1" applyProtection="1"/>
    <xf numFmtId="166" fontId="9" fillId="0" borderId="0" xfId="10" applyFont="1" applyProtection="1"/>
    <xf numFmtId="4" fontId="9" fillId="0" borderId="0" xfId="10" applyNumberFormat="1" applyFont="1" applyProtection="1"/>
    <xf numFmtId="0" fontId="2" fillId="0" borderId="0" xfId="0" quotePrefix="1" applyFont="1"/>
    <xf numFmtId="1" fontId="31" fillId="0" borderId="0" xfId="0" applyNumberFormat="1" applyFont="1" applyAlignment="1">
      <alignment horizontal="center"/>
    </xf>
    <xf numFmtId="166" fontId="31" fillId="0" borderId="0" xfId="0" applyNumberFormat="1" applyFont="1"/>
    <xf numFmtId="166" fontId="2" fillId="0" borderId="0" xfId="0" applyNumberFormat="1" applyFont="1" applyAlignment="1">
      <alignment horizontal="center"/>
    </xf>
    <xf numFmtId="166" fontId="32" fillId="0" borderId="0" xfId="0" applyNumberFormat="1" applyFont="1" applyAlignment="1">
      <alignment horizontal="center"/>
    </xf>
    <xf numFmtId="165" fontId="31" fillId="0" borderId="0" xfId="0" applyNumberFormat="1" applyFont="1"/>
    <xf numFmtId="166" fontId="2" fillId="5" borderId="0" xfId="0" applyNumberFormat="1" applyFont="1" applyFill="1" applyAlignment="1">
      <alignment horizontal="center"/>
    </xf>
    <xf numFmtId="165" fontId="32" fillId="0" borderId="0" xfId="0" applyNumberFormat="1" applyFont="1" applyAlignment="1">
      <alignment horizontal="center"/>
    </xf>
    <xf numFmtId="165" fontId="32" fillId="0" borderId="0" xfId="15" applyFont="1" applyAlignment="1">
      <alignment horizontal="center"/>
    </xf>
    <xf numFmtId="170" fontId="23" fillId="0" borderId="0" xfId="0" applyNumberFormat="1" applyFont="1" applyAlignment="1">
      <alignment horizontal="center"/>
    </xf>
    <xf numFmtId="165" fontId="23" fillId="0" borderId="0" xfId="15" applyFont="1" applyAlignment="1">
      <alignment horizontal="center"/>
    </xf>
    <xf numFmtId="166" fontId="32" fillId="0" borderId="1" xfId="0" applyNumberFormat="1" applyFont="1" applyBorder="1" applyAlignment="1">
      <alignment horizontal="center"/>
    </xf>
    <xf numFmtId="165" fontId="32" fillId="0" borderId="1" xfId="0" applyNumberFormat="1" applyFont="1" applyBorder="1" applyAlignment="1">
      <alignment horizontal="center"/>
    </xf>
    <xf numFmtId="169" fontId="31" fillId="0" borderId="0" xfId="0" applyNumberFormat="1" applyFont="1"/>
    <xf numFmtId="165" fontId="31" fillId="0" borderId="0" xfId="15" applyFont="1"/>
    <xf numFmtId="169" fontId="31" fillId="0" borderId="0" xfId="0" applyNumberFormat="1" applyFont="1" applyAlignment="1">
      <alignment horizontal="left"/>
    </xf>
    <xf numFmtId="166" fontId="31" fillId="0" borderId="0" xfId="0" applyNumberFormat="1" applyFont="1" applyAlignment="1">
      <alignment horizontal="left"/>
    </xf>
    <xf numFmtId="168" fontId="31" fillId="0" borderId="0" xfId="0" applyNumberFormat="1" applyFont="1"/>
    <xf numFmtId="165" fontId="31" fillId="0" borderId="1" xfId="15" applyFont="1" applyBorder="1"/>
    <xf numFmtId="166" fontId="31" fillId="0" borderId="4" xfId="0" applyNumberFormat="1" applyFont="1" applyBorder="1" applyAlignment="1">
      <alignment horizontal="center"/>
    </xf>
    <xf numFmtId="168" fontId="33" fillId="5" borderId="0" xfId="0" applyNumberFormat="1" applyFont="1" applyFill="1" applyAlignment="1">
      <alignment horizontal="left"/>
    </xf>
    <xf numFmtId="165" fontId="33" fillId="5" borderId="0" xfId="15" applyFont="1" applyFill="1"/>
    <xf numFmtId="168" fontId="31" fillId="0" borderId="0" xfId="0" applyNumberFormat="1" applyFont="1" applyAlignment="1">
      <alignment horizontal="left"/>
    </xf>
    <xf numFmtId="165" fontId="31" fillId="0" borderId="0" xfId="17" applyFont="1" applyBorder="1"/>
    <xf numFmtId="165" fontId="31" fillId="0" borderId="4" xfId="15" applyFont="1" applyBorder="1"/>
    <xf numFmtId="166" fontId="32" fillId="0" borderId="0" xfId="0" applyNumberFormat="1" applyFont="1"/>
    <xf numFmtId="165" fontId="31" fillId="0" borderId="0" xfId="15" applyFont="1" applyAlignment="1">
      <alignment horizontal="center"/>
    </xf>
    <xf numFmtId="165" fontId="32" fillId="0" borderId="0" xfId="17" applyFont="1" applyBorder="1" applyAlignment="1">
      <alignment horizontal="center"/>
    </xf>
    <xf numFmtId="170" fontId="2" fillId="0" borderId="0" xfId="0" quotePrefix="1" applyNumberFormat="1" applyFont="1" applyAlignment="1">
      <alignment horizontal="center"/>
    </xf>
    <xf numFmtId="172" fontId="38" fillId="0" borderId="0" xfId="0" applyNumberFormat="1" applyFont="1"/>
    <xf numFmtId="171" fontId="38" fillId="0" borderId="0" xfId="0" applyNumberFormat="1" applyFont="1"/>
    <xf numFmtId="0" fontId="2" fillId="6" borderId="5" xfId="0" applyFont="1" applyFill="1" applyBorder="1"/>
    <xf numFmtId="0" fontId="0" fillId="6" borderId="6" xfId="0" applyFill="1" applyBorder="1"/>
    <xf numFmtId="0" fontId="0" fillId="6" borderId="7" xfId="0" applyFill="1" applyBorder="1"/>
    <xf numFmtId="166" fontId="2" fillId="0" borderId="0" xfId="0" applyNumberFormat="1" applyFont="1"/>
    <xf numFmtId="166" fontId="6" fillId="5" borderId="0" xfId="0" applyNumberFormat="1" applyFont="1" applyFill="1" applyAlignment="1">
      <alignment horizontal="center"/>
    </xf>
    <xf numFmtId="166" fontId="6" fillId="5" borderId="0" xfId="0" applyNumberFormat="1" applyFont="1" applyFill="1" applyAlignment="1">
      <alignment horizontal="left" indent="1"/>
    </xf>
    <xf numFmtId="166" fontId="9" fillId="0" borderId="0" xfId="0" applyNumberFormat="1" applyFont="1" applyAlignment="1">
      <alignment horizontal="center"/>
    </xf>
    <xf numFmtId="1" fontId="0" fillId="0" borderId="0" xfId="0" applyNumberFormat="1"/>
    <xf numFmtId="166" fontId="0" fillId="0" borderId="0" xfId="0" applyNumberFormat="1"/>
    <xf numFmtId="166" fontId="0" fillId="5" borderId="0" xfId="0" applyNumberFormat="1" applyFill="1"/>
    <xf numFmtId="166" fontId="0" fillId="0" borderId="1" xfId="0" applyNumberFormat="1" applyBorder="1"/>
    <xf numFmtId="166" fontId="0" fillId="0" borderId="4" xfId="0" applyNumberFormat="1" applyBorder="1"/>
    <xf numFmtId="166" fontId="6" fillId="5" borderId="0" xfId="0" applyNumberFormat="1" applyFont="1" applyFill="1"/>
    <xf numFmtId="166" fontId="0" fillId="6" borderId="0" xfId="0" applyNumberFormat="1" applyFill="1"/>
    <xf numFmtId="166" fontId="22" fillId="5" borderId="0" xfId="0" applyNumberFormat="1" applyFont="1" applyFill="1"/>
    <xf numFmtId="4" fontId="0" fillId="0" borderId="0" xfId="0" applyNumberFormat="1"/>
    <xf numFmtId="166" fontId="0" fillId="0" borderId="0" xfId="0" applyNumberFormat="1" applyAlignment="1">
      <alignment horizontal="center"/>
    </xf>
    <xf numFmtId="37" fontId="0" fillId="0" borderId="3" xfId="0" applyNumberFormat="1" applyBorder="1"/>
    <xf numFmtId="166" fontId="31" fillId="0" borderId="3" xfId="15" applyNumberFormat="1" applyFont="1" applyBorder="1"/>
    <xf numFmtId="0" fontId="39" fillId="0" borderId="0" xfId="0" applyFont="1"/>
    <xf numFmtId="0" fontId="40" fillId="0" borderId="0" xfId="0" applyFont="1"/>
    <xf numFmtId="173" fontId="31" fillId="0" borderId="4" xfId="15" applyNumberFormat="1" applyFont="1" applyBorder="1"/>
    <xf numFmtId="166" fontId="31" fillId="0" borderId="0" xfId="6" applyFont="1" applyAlignment="1" applyProtection="1">
      <alignment horizontal="center"/>
    </xf>
    <xf numFmtId="173" fontId="0" fillId="0" borderId="3" xfId="0" applyNumberFormat="1" applyBorder="1"/>
    <xf numFmtId="0" fontId="9" fillId="0" borderId="0" xfId="0" applyFont="1" applyAlignment="1">
      <alignment horizontal="left" indent="2"/>
    </xf>
    <xf numFmtId="0" fontId="19" fillId="0" borderId="0" xfId="0" applyFont="1"/>
    <xf numFmtId="166" fontId="36" fillId="0" borderId="0" xfId="8">
      <protection locked="0"/>
    </xf>
    <xf numFmtId="166" fontId="22" fillId="5" borderId="0" xfId="8" applyFont="1" applyFill="1">
      <protection locked="0"/>
    </xf>
    <xf numFmtId="166" fontId="36" fillId="5" borderId="0" xfId="8" applyFill="1">
      <protection locked="0"/>
    </xf>
    <xf numFmtId="166" fontId="31" fillId="0" borderId="0" xfId="7" applyFont="1" applyAlignment="1" applyProtection="1">
      <alignment horizontal="center"/>
    </xf>
    <xf numFmtId="166" fontId="33" fillId="5" borderId="0" xfId="7" applyFont="1" applyFill="1" applyAlignment="1" applyProtection="1">
      <alignment horizontal="center"/>
    </xf>
    <xf numFmtId="166" fontId="31" fillId="5" borderId="0" xfId="7" applyFont="1" applyFill="1" applyAlignment="1" applyProtection="1">
      <alignment horizontal="center"/>
    </xf>
    <xf numFmtId="166" fontId="31" fillId="6" borderId="0" xfId="7" applyFont="1" applyFill="1" applyAlignment="1" applyProtection="1">
      <alignment horizontal="center"/>
    </xf>
    <xf numFmtId="166" fontId="31" fillId="0" borderId="1" xfId="7" applyFont="1" applyBorder="1" applyAlignment="1" applyProtection="1">
      <alignment horizontal="center"/>
    </xf>
    <xf numFmtId="166" fontId="31" fillId="0" borderId="1" xfId="0" applyNumberFormat="1" applyFont="1" applyBorder="1"/>
    <xf numFmtId="166" fontId="33" fillId="5" borderId="0" xfId="0" applyNumberFormat="1" applyFont="1" applyFill="1"/>
    <xf numFmtId="166" fontId="31" fillId="0" borderId="1" xfId="15" applyNumberFormat="1" applyFont="1" applyBorder="1"/>
    <xf numFmtId="166" fontId="31" fillId="7" borderId="4" xfId="0" applyNumberFormat="1" applyFont="1" applyFill="1" applyBorder="1" applyAlignment="1">
      <alignment horizontal="center"/>
    </xf>
    <xf numFmtId="166" fontId="9" fillId="0" borderId="0" xfId="7">
      <protection locked="0"/>
    </xf>
    <xf numFmtId="166" fontId="9" fillId="0" borderId="1" xfId="7" applyBorder="1">
      <protection locked="0"/>
    </xf>
    <xf numFmtId="166" fontId="22" fillId="5" borderId="0" xfId="7" applyFont="1" applyFill="1">
      <protection locked="0"/>
    </xf>
    <xf numFmtId="166" fontId="9" fillId="5" borderId="0" xfId="7" applyFill="1">
      <protection locked="0"/>
    </xf>
    <xf numFmtId="1" fontId="41" fillId="0" borderId="0" xfId="0" applyNumberFormat="1" applyFont="1" applyAlignment="1">
      <alignment horizontal="left"/>
    </xf>
    <xf numFmtId="14" fontId="23" fillId="0" borderId="0" xfId="0" applyNumberFormat="1" applyFont="1" applyAlignment="1">
      <alignment horizontal="right"/>
    </xf>
    <xf numFmtId="0" fontId="42" fillId="0" borderId="0" xfId="0" applyFont="1"/>
    <xf numFmtId="0" fontId="43" fillId="0" borderId="0" xfId="0" applyFont="1"/>
    <xf numFmtId="0" fontId="44" fillId="0" borderId="0" xfId="0" applyFont="1" applyAlignment="1">
      <alignment horizontal="center"/>
    </xf>
    <xf numFmtId="174" fontId="17" fillId="0" borderId="4" xfId="1" applyNumberFormat="1" applyFont="1" applyFill="1" applyBorder="1" applyAlignment="1">
      <alignment horizontal="center"/>
    </xf>
    <xf numFmtId="43" fontId="17" fillId="0" borderId="4" xfId="1" applyFont="1" applyFill="1" applyBorder="1" applyAlignment="1">
      <alignment horizontal="center"/>
    </xf>
    <xf numFmtId="0" fontId="0" fillId="0" borderId="0" xfId="0" applyAlignment="1">
      <alignment horizontal="right"/>
    </xf>
    <xf numFmtId="41" fontId="0" fillId="0" borderId="0" xfId="0" applyNumberFormat="1" applyAlignment="1">
      <alignment horizontal="right"/>
    </xf>
    <xf numFmtId="0" fontId="0" fillId="0" borderId="0" xfId="0" quotePrefix="1" applyAlignment="1">
      <alignment horizontal="center" vertical="center"/>
    </xf>
    <xf numFmtId="174" fontId="17" fillId="0" borderId="0" xfId="1" applyNumberFormat="1" applyFont="1" applyFill="1" applyBorder="1" applyAlignment="1" applyProtection="1">
      <alignment horizontal="center"/>
      <protection locked="0"/>
    </xf>
    <xf numFmtId="43" fontId="17" fillId="0" borderId="0" xfId="1" applyFont="1" applyFill="1" applyBorder="1" applyAlignment="1" applyProtection="1">
      <alignment horizontal="center"/>
      <protection locked="0"/>
    </xf>
    <xf numFmtId="174" fontId="17" fillId="0" borderId="1" xfId="1" applyNumberFormat="1" applyFont="1" applyFill="1" applyBorder="1" applyAlignment="1" applyProtection="1">
      <alignment horizontal="center"/>
      <protection locked="0"/>
    </xf>
    <xf numFmtId="43" fontId="17" fillId="0" borderId="1" xfId="1" applyFont="1" applyFill="1" applyBorder="1" applyAlignment="1" applyProtection="1">
      <alignment horizontal="center"/>
      <protection locked="0"/>
    </xf>
    <xf numFmtId="0" fontId="46" fillId="0" borderId="0" xfId="0" applyFont="1" applyAlignment="1">
      <alignment horizontal="center" vertical="center"/>
    </xf>
    <xf numFmtId="0" fontId="31" fillId="0" borderId="0" xfId="0" applyFont="1"/>
    <xf numFmtId="0" fontId="47" fillId="8" borderId="8" xfId="0" applyFont="1" applyFill="1" applyBorder="1" applyProtection="1">
      <protection locked="0"/>
    </xf>
    <xf numFmtId="0" fontId="32" fillId="0" borderId="0" xfId="0" applyFont="1" applyAlignment="1">
      <alignment horizontal="center"/>
    </xf>
    <xf numFmtId="0" fontId="48" fillId="0" borderId="0" xfId="0" applyFont="1" applyAlignment="1">
      <alignment horizontal="left" vertical="center"/>
    </xf>
    <xf numFmtId="0" fontId="46" fillId="0" borderId="0" xfId="0" applyFont="1"/>
    <xf numFmtId="165" fontId="31" fillId="0" borderId="0" xfId="16" applyFont="1" applyAlignment="1">
      <alignment horizontal="center"/>
    </xf>
    <xf numFmtId="0" fontId="46" fillId="0" borderId="0" xfId="0" applyFont="1" applyAlignment="1">
      <alignment horizontal="center" wrapText="1"/>
    </xf>
    <xf numFmtId="0" fontId="47" fillId="8" borderId="8" xfId="0" applyFont="1" applyFill="1" applyBorder="1"/>
    <xf numFmtId="0" fontId="1" fillId="0" borderId="0" xfId="0" applyFont="1"/>
    <xf numFmtId="0" fontId="1" fillId="0" borderId="0" xfId="0" quotePrefix="1" applyFont="1"/>
    <xf numFmtId="0" fontId="1" fillId="3" borderId="0" xfId="0" applyFont="1" applyFill="1" applyAlignment="1" applyProtection="1">
      <alignment horizontal="left"/>
      <protection locked="0"/>
    </xf>
    <xf numFmtId="0" fontId="1" fillId="0" borderId="0" xfId="0" applyFont="1" applyAlignment="1">
      <alignment horizontal="left"/>
    </xf>
    <xf numFmtId="42" fontId="9" fillId="0" borderId="0" xfId="1" applyNumberFormat="1" applyFont="1" applyProtection="1">
      <protection locked="0"/>
    </xf>
    <xf numFmtId="42" fontId="9" fillId="0" borderId="0" xfId="1" applyNumberFormat="1" applyFont="1"/>
    <xf numFmtId="41" fontId="9" fillId="0" borderId="0" xfId="1" applyNumberFormat="1" applyFont="1" applyProtection="1">
      <protection locked="0"/>
    </xf>
    <xf numFmtId="41" fontId="9" fillId="0" borderId="0" xfId="1" applyNumberFormat="1" applyFont="1"/>
    <xf numFmtId="41" fontId="9" fillId="0" borderId="1" xfId="1" applyNumberFormat="1" applyFont="1" applyBorder="1" applyProtection="1">
      <protection locked="0"/>
    </xf>
    <xf numFmtId="41" fontId="9" fillId="0" borderId="1" xfId="1" applyNumberFormat="1" applyFont="1" applyBorder="1"/>
    <xf numFmtId="41" fontId="9" fillId="0" borderId="4" xfId="1" applyNumberFormat="1" applyFont="1" applyBorder="1"/>
    <xf numFmtId="42" fontId="9" fillId="0" borderId="3" xfId="1" applyNumberFormat="1" applyFont="1" applyBorder="1"/>
    <xf numFmtId="0" fontId="24" fillId="0" borderId="0" xfId="0" applyFont="1" applyAlignment="1">
      <alignment horizontal="left"/>
    </xf>
    <xf numFmtId="0" fontId="1" fillId="0" borderId="0" xfId="0" applyFont="1" applyAlignment="1">
      <alignment horizontal="left" indent="1"/>
    </xf>
    <xf numFmtId="0" fontId="1" fillId="0" borderId="0" xfId="0" applyFont="1" applyProtection="1">
      <protection locked="0"/>
    </xf>
    <xf numFmtId="174" fontId="1" fillId="0" borderId="0" xfId="0" applyNumberFormat="1" applyFont="1"/>
    <xf numFmtId="174" fontId="1" fillId="0" borderId="1" xfId="0" applyNumberFormat="1" applyFont="1" applyBorder="1"/>
    <xf numFmtId="174" fontId="1" fillId="0" borderId="4" xfId="0" applyNumberFormat="1" applyFont="1" applyBorder="1"/>
    <xf numFmtId="0" fontId="1" fillId="0" borderId="1" xfId="0" applyFont="1" applyBorder="1"/>
    <xf numFmtId="0" fontId="1" fillId="0" borderId="0" xfId="0" applyFont="1" applyAlignment="1">
      <alignment horizontal="left" indent="2"/>
    </xf>
    <xf numFmtId="166" fontId="1" fillId="0" borderId="0" xfId="0" applyNumberFormat="1" applyFont="1" applyAlignment="1">
      <alignment horizontal="center"/>
    </xf>
    <xf numFmtId="166" fontId="1" fillId="0" borderId="0" xfId="0" applyNumberFormat="1" applyFont="1" applyAlignment="1">
      <alignment horizontal="left" indent="1"/>
    </xf>
    <xf numFmtId="166" fontId="1" fillId="0" borderId="0" xfId="0" applyNumberFormat="1" applyFont="1" applyAlignment="1">
      <alignment horizontal="left" indent="2"/>
    </xf>
    <xf numFmtId="166" fontId="1" fillId="0" borderId="0" xfId="0" applyNumberFormat="1" applyFont="1"/>
    <xf numFmtId="166" fontId="1" fillId="0" borderId="0" xfId="0" applyNumberFormat="1" applyFont="1" applyAlignment="1">
      <alignment horizontal="left"/>
    </xf>
    <xf numFmtId="0" fontId="1" fillId="3" borderId="0" xfId="0" quotePrefix="1" applyFont="1" applyFill="1" applyAlignment="1" applyProtection="1">
      <alignment horizontal="left"/>
      <protection locked="0"/>
    </xf>
    <xf numFmtId="0" fontId="50" fillId="0" borderId="0" xfId="0" applyFont="1"/>
    <xf numFmtId="0" fontId="51" fillId="0" borderId="0" xfId="0" applyFont="1"/>
    <xf numFmtId="0" fontId="49" fillId="0" borderId="0" xfId="0" applyFont="1" applyAlignment="1">
      <alignment horizontal="left" indent="1"/>
    </xf>
    <xf numFmtId="0" fontId="55" fillId="0" borderId="0" xfId="0" applyFont="1" applyAlignment="1">
      <alignment horizontal="left"/>
    </xf>
    <xf numFmtId="0" fontId="55" fillId="0" borderId="0" xfId="0" applyFont="1"/>
    <xf numFmtId="176" fontId="55" fillId="0" borderId="0" xfId="0" applyNumberFormat="1" applyFont="1" applyAlignment="1">
      <alignment horizontal="center"/>
    </xf>
    <xf numFmtId="0" fontId="15" fillId="0" borderId="2" xfId="0" applyFont="1" applyBorder="1" applyAlignment="1">
      <alignment horizontal="center" wrapText="1"/>
    </xf>
    <xf numFmtId="0" fontId="15" fillId="0" borderId="2" xfId="0" applyFont="1" applyBorder="1" applyAlignment="1">
      <alignment horizontal="center"/>
    </xf>
    <xf numFmtId="14" fontId="55" fillId="0" borderId="0" xfId="0" applyNumberFormat="1" applyFont="1" applyAlignment="1">
      <alignment horizontal="center"/>
    </xf>
    <xf numFmtId="49" fontId="55" fillId="0" borderId="0" xfId="0" applyNumberFormat="1" applyFont="1" applyAlignment="1">
      <alignment horizontal="left" wrapText="1"/>
    </xf>
    <xf numFmtId="0" fontId="55" fillId="0" borderId="0" xfId="0" applyFont="1" applyAlignment="1">
      <alignment horizontal="center"/>
    </xf>
    <xf numFmtId="49" fontId="55" fillId="0" borderId="0" xfId="0" applyNumberFormat="1" applyFont="1" applyAlignment="1">
      <alignment horizontal="center" wrapText="1"/>
    </xf>
    <xf numFmtId="15" fontId="1" fillId="0" borderId="0" xfId="0" quotePrefix="1" applyNumberFormat="1" applyFont="1"/>
    <xf numFmtId="15" fontId="1" fillId="0" borderId="0" xfId="0" applyNumberFormat="1" applyFont="1"/>
    <xf numFmtId="0" fontId="57" fillId="0" borderId="0" xfId="0" applyFont="1"/>
    <xf numFmtId="0" fontId="2" fillId="12" borderId="0" xfId="0" applyFont="1" applyFill="1" applyAlignment="1">
      <alignment horizontal="center" vertical="center" wrapText="1"/>
    </xf>
    <xf numFmtId="0" fontId="2" fillId="13" borderId="8" xfId="0" applyFont="1" applyFill="1" applyBorder="1" applyAlignment="1">
      <alignment vertical="center"/>
    </xf>
    <xf numFmtId="0" fontId="0" fillId="11" borderId="8" xfId="0" applyFill="1" applyBorder="1" applyAlignment="1">
      <alignment horizontal="center" vertical="center" wrapText="1"/>
    </xf>
    <xf numFmtId="0" fontId="0" fillId="0" borderId="0" xfId="0" applyAlignment="1">
      <alignment horizontal="center" vertical="center" wrapText="1"/>
    </xf>
    <xf numFmtId="0" fontId="1" fillId="15" borderId="8" xfId="0" applyFont="1" applyFill="1" applyBorder="1"/>
    <xf numFmtId="0" fontId="0" fillId="0" borderId="8" xfId="0" applyBorder="1" applyAlignment="1" applyProtection="1">
      <alignment wrapText="1"/>
      <protection locked="0"/>
    </xf>
    <xf numFmtId="0" fontId="0" fillId="0" borderId="0" xfId="0" applyAlignment="1">
      <alignment horizontal="center" vertical="center"/>
    </xf>
    <xf numFmtId="0" fontId="2" fillId="18" borderId="8" xfId="0" applyFont="1" applyFill="1" applyBorder="1"/>
    <xf numFmtId="0" fontId="1" fillId="15" borderId="13" xfId="0" applyFont="1" applyFill="1" applyBorder="1"/>
    <xf numFmtId="0" fontId="1" fillId="15" borderId="4" xfId="0" applyFont="1" applyFill="1" applyBorder="1"/>
    <xf numFmtId="0" fontId="59" fillId="0" borderId="0" xfId="0" applyFont="1"/>
    <xf numFmtId="0" fontId="60" fillId="0" borderId="0" xfId="0" applyFont="1" applyProtection="1">
      <protection hidden="1"/>
    </xf>
    <xf numFmtId="0" fontId="61" fillId="0" borderId="0" xfId="0" applyFont="1" applyProtection="1">
      <protection hidden="1"/>
    </xf>
    <xf numFmtId="0" fontId="2" fillId="0" borderId="0" xfId="0" applyFont="1" applyAlignment="1">
      <alignment horizontal="left" indent="1"/>
    </xf>
    <xf numFmtId="0" fontId="58" fillId="10" borderId="4" xfId="0" applyFont="1" applyFill="1" applyBorder="1" applyAlignment="1">
      <alignment horizontal="center"/>
    </xf>
    <xf numFmtId="0" fontId="58" fillId="10" borderId="14" xfId="0" applyFont="1" applyFill="1" applyBorder="1" applyAlignment="1">
      <alignment horizontal="center"/>
    </xf>
    <xf numFmtId="0" fontId="63" fillId="0" borderId="0" xfId="25" applyFont="1" applyAlignment="1">
      <alignment horizontal="center"/>
    </xf>
    <xf numFmtId="0" fontId="63" fillId="0" borderId="0" xfId="25" applyFont="1"/>
    <xf numFmtId="44" fontId="0" fillId="11" borderId="8" xfId="24" applyFont="1" applyFill="1" applyBorder="1" applyAlignment="1">
      <alignment horizontal="center" vertical="center" wrapText="1"/>
    </xf>
    <xf numFmtId="0" fontId="2" fillId="11" borderId="8"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2" fillId="18" borderId="8" xfId="0" applyFont="1" applyFill="1" applyBorder="1" applyAlignment="1">
      <alignment vertical="center"/>
    </xf>
    <xf numFmtId="0" fontId="63" fillId="0" borderId="8" xfId="25" applyFont="1" applyBorder="1"/>
    <xf numFmtId="0" fontId="1" fillId="8" borderId="0" xfId="0" applyFont="1" applyFill="1"/>
    <xf numFmtId="0" fontId="60" fillId="20" borderId="0" xfId="0" applyFont="1" applyFill="1" applyProtection="1">
      <protection hidden="1"/>
    </xf>
    <xf numFmtId="43" fontId="64" fillId="19" borderId="8" xfId="1" applyFont="1" applyFill="1" applyBorder="1" applyAlignment="1">
      <alignment vertical="center"/>
    </xf>
    <xf numFmtId="0" fontId="42" fillId="0" borderId="0" xfId="0" applyFont="1" applyAlignment="1">
      <alignment horizontal="center" vertical="center" wrapText="1"/>
    </xf>
    <xf numFmtId="14" fontId="55" fillId="0" borderId="0" xfId="0" applyNumberFormat="1" applyFont="1" applyAlignment="1">
      <alignment horizontal="center" vertical="center"/>
    </xf>
    <xf numFmtId="0" fontId="55" fillId="0" borderId="0" xfId="0" applyFont="1" applyAlignment="1">
      <alignment vertical="center"/>
    </xf>
    <xf numFmtId="0" fontId="55" fillId="0" borderId="0" xfId="0" applyFont="1" applyAlignment="1">
      <alignment horizontal="center" vertical="center"/>
    </xf>
    <xf numFmtId="49" fontId="55" fillId="0" borderId="0" xfId="0" applyNumberFormat="1" applyFont="1" applyAlignment="1">
      <alignment horizontal="left" vertical="center" wrapText="1"/>
    </xf>
    <xf numFmtId="0" fontId="2" fillId="9" borderId="9" xfId="0" quotePrefix="1" applyFont="1" applyFill="1" applyBorder="1" applyAlignment="1">
      <alignment vertical="center"/>
    </xf>
    <xf numFmtId="0" fontId="1" fillId="9" borderId="9" xfId="0" quotePrefix="1" applyFont="1" applyFill="1" applyBorder="1" applyAlignment="1">
      <alignment vertical="center"/>
    </xf>
    <xf numFmtId="0" fontId="40" fillId="9" borderId="9" xfId="0" quotePrefix="1" applyFont="1" applyFill="1" applyBorder="1" applyAlignment="1">
      <alignment vertical="center"/>
    </xf>
    <xf numFmtId="0" fontId="1" fillId="9" borderId="11" xfId="0" quotePrefix="1" applyFont="1" applyFill="1" applyBorder="1" applyAlignment="1">
      <alignment vertical="center"/>
    </xf>
    <xf numFmtId="0" fontId="1" fillId="9" borderId="2" xfId="0" applyFont="1" applyFill="1" applyBorder="1" applyAlignment="1">
      <alignment vertical="center"/>
    </xf>
    <xf numFmtId="0" fontId="53" fillId="9" borderId="2" xfId="23" applyFill="1" applyBorder="1" applyAlignment="1" applyProtection="1">
      <alignment vertical="center"/>
    </xf>
    <xf numFmtId="0" fontId="2" fillId="18" borderId="14" xfId="0" applyFont="1" applyFill="1" applyBorder="1" applyAlignment="1">
      <alignment horizontal="center" vertical="center" wrapText="1"/>
    </xf>
    <xf numFmtId="0" fontId="68" fillId="13" borderId="5" xfId="0" applyFont="1" applyFill="1" applyBorder="1" applyAlignment="1">
      <alignment horizontal="center" vertical="center" wrapText="1"/>
    </xf>
    <xf numFmtId="0" fontId="69" fillId="11" borderId="5" xfId="0" applyFont="1" applyFill="1" applyBorder="1" applyAlignment="1">
      <alignment horizontal="center" vertical="center" wrapText="1"/>
    </xf>
    <xf numFmtId="0" fontId="58" fillId="10" borderId="14" xfId="0" applyFont="1" applyFill="1" applyBorder="1" applyAlignment="1">
      <alignment horizontal="center" vertical="center"/>
    </xf>
    <xf numFmtId="0" fontId="1" fillId="11" borderId="18" xfId="0" applyFont="1" applyFill="1" applyBorder="1" applyAlignment="1">
      <alignment horizontal="center" vertical="center" wrapText="1"/>
    </xf>
    <xf numFmtId="0" fontId="0" fillId="0" borderId="0" xfId="0" applyAlignment="1">
      <alignment vertical="center"/>
    </xf>
    <xf numFmtId="43" fontId="12" fillId="21" borderId="5" xfId="1" applyFont="1" applyFill="1" applyBorder="1" applyAlignment="1" applyProtection="1">
      <alignment vertical="center"/>
      <protection locked="0"/>
    </xf>
    <xf numFmtId="43" fontId="70" fillId="21" borderId="4" xfId="1" applyFont="1" applyFill="1" applyBorder="1" applyAlignment="1" applyProtection="1">
      <alignment vertical="center"/>
    </xf>
    <xf numFmtId="43" fontId="1" fillId="21" borderId="4" xfId="1" applyFont="1" applyFill="1" applyBorder="1" applyAlignment="1" applyProtection="1">
      <alignment vertical="center"/>
    </xf>
    <xf numFmtId="0" fontId="1" fillId="0" borderId="0" xfId="0" applyFont="1" applyAlignment="1">
      <alignment horizontal="center" vertical="center"/>
    </xf>
    <xf numFmtId="0" fontId="2" fillId="18" borderId="13" xfId="0" applyFont="1" applyFill="1" applyBorder="1" applyAlignment="1">
      <alignment vertical="center"/>
    </xf>
    <xf numFmtId="0" fontId="2" fillId="18" borderId="4" xfId="0" applyFont="1" applyFill="1" applyBorder="1" applyAlignment="1">
      <alignment vertical="center"/>
    </xf>
    <xf numFmtId="0" fontId="1" fillId="15" borderId="8" xfId="0" applyFont="1" applyFill="1" applyBorder="1" applyAlignment="1">
      <alignment horizontal="center" vertical="center"/>
    </xf>
    <xf numFmtId="0" fontId="1" fillId="16" borderId="0" xfId="0" applyFont="1" applyFill="1" applyAlignment="1">
      <alignment horizontal="center" vertical="center"/>
    </xf>
    <xf numFmtId="0" fontId="1" fillId="0" borderId="8" xfId="0" applyFont="1" applyBorder="1" applyAlignment="1">
      <alignment vertical="center"/>
    </xf>
    <xf numFmtId="0" fontId="63" fillId="0" borderId="8" xfId="25" applyFont="1" applyBorder="1" applyAlignment="1">
      <alignment vertical="center" wrapText="1"/>
    </xf>
    <xf numFmtId="0" fontId="63" fillId="0" borderId="8" xfId="25" applyFont="1" applyBorder="1" applyAlignment="1" applyProtection="1">
      <alignment vertical="center" wrapText="1"/>
      <protection locked="0"/>
    </xf>
    <xf numFmtId="0" fontId="1" fillId="0" borderId="8" xfId="0" applyFont="1" applyBorder="1" applyAlignment="1" applyProtection="1">
      <alignment horizontal="left" vertical="center" wrapText="1"/>
      <protection locked="0"/>
    </xf>
    <xf numFmtId="43" fontId="1" fillId="21" borderId="13" xfId="1" applyFont="1" applyFill="1" applyBorder="1" applyAlignment="1" applyProtection="1">
      <alignment vertical="center"/>
    </xf>
    <xf numFmtId="43" fontId="1" fillId="21" borderId="8" xfId="1" applyFont="1" applyFill="1" applyBorder="1" applyAlignment="1" applyProtection="1">
      <alignment horizontal="left" vertical="center"/>
    </xf>
    <xf numFmtId="0" fontId="42" fillId="13" borderId="5" xfId="0" applyFont="1" applyFill="1" applyBorder="1" applyAlignment="1">
      <alignment horizontal="center" vertical="center" wrapText="1"/>
    </xf>
    <xf numFmtId="44" fontId="42" fillId="0" borderId="0" xfId="24" applyFont="1" applyFill="1" applyBorder="1" applyAlignment="1" applyProtection="1">
      <alignment horizontal="center" vertical="center" wrapText="1"/>
    </xf>
    <xf numFmtId="44" fontId="42" fillId="13" borderId="5" xfId="24" applyFont="1" applyFill="1" applyBorder="1" applyAlignment="1" applyProtection="1">
      <alignment horizontal="center" vertical="center" wrapText="1"/>
    </xf>
    <xf numFmtId="44" fontId="42" fillId="13" borderId="5" xfId="24" applyFont="1" applyFill="1" applyBorder="1" applyAlignment="1">
      <alignment horizontal="center" vertical="center" wrapText="1"/>
    </xf>
    <xf numFmtId="0" fontId="39" fillId="0" borderId="0" xfId="0" applyFont="1" applyAlignment="1">
      <alignment horizontal="center" vertical="center" wrapText="1"/>
    </xf>
    <xf numFmtId="44" fontId="42" fillId="0" borderId="0" xfId="0" applyNumberFormat="1" applyFont="1" applyAlignment="1">
      <alignment horizontal="center" vertical="center"/>
    </xf>
    <xf numFmtId="0" fontId="64" fillId="19" borderId="8" xfId="0" applyFont="1" applyFill="1" applyBorder="1" applyAlignment="1">
      <alignment horizontal="center" vertical="center"/>
    </xf>
    <xf numFmtId="44" fontId="42" fillId="0" borderId="0" xfId="24" applyFont="1" applyFill="1" applyBorder="1" applyAlignment="1" applyProtection="1">
      <alignment horizontal="left" vertical="center"/>
    </xf>
    <xf numFmtId="0" fontId="9" fillId="0" borderId="0" xfId="0" applyFont="1" applyAlignment="1">
      <alignment horizontal="center" vertical="center"/>
    </xf>
    <xf numFmtId="43" fontId="0" fillId="0" borderId="0" xfId="1" applyFont="1" applyAlignment="1">
      <alignment vertical="center"/>
    </xf>
    <xf numFmtId="0" fontId="1"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xf numFmtId="0" fontId="1" fillId="15" borderId="8" xfId="0" applyFont="1" applyFill="1" applyBorder="1" applyAlignment="1">
      <alignment horizontal="center"/>
    </xf>
    <xf numFmtId="0" fontId="1" fillId="9" borderId="0" xfId="0" applyFont="1" applyFill="1" applyAlignment="1">
      <alignment vertical="center"/>
    </xf>
    <xf numFmtId="0" fontId="2" fillId="9" borderId="0" xfId="0" applyFont="1" applyFill="1" applyAlignment="1">
      <alignment horizontal="right" vertical="center"/>
    </xf>
    <xf numFmtId="0" fontId="1" fillId="9" borderId="10" xfId="0" applyFont="1" applyFill="1" applyBorder="1"/>
    <xf numFmtId="0" fontId="1" fillId="9" borderId="12" xfId="0" applyFont="1" applyFill="1" applyBorder="1"/>
    <xf numFmtId="0" fontId="1" fillId="9" borderId="7" xfId="0" applyFont="1" applyFill="1" applyBorder="1"/>
    <xf numFmtId="44" fontId="1" fillId="17" borderId="16" xfId="24" applyFont="1" applyFill="1" applyBorder="1" applyAlignment="1" applyProtection="1">
      <alignment horizontal="center" vertical="center"/>
      <protection locked="0"/>
    </xf>
    <xf numFmtId="44" fontId="2" fillId="17" borderId="16" xfId="24" applyFont="1" applyFill="1" applyBorder="1" applyAlignment="1" applyProtection="1">
      <alignment horizontal="center" vertical="center"/>
      <protection locked="0"/>
    </xf>
    <xf numFmtId="44" fontId="1" fillId="17" borderId="8" xfId="24" applyFont="1" applyFill="1" applyBorder="1" applyAlignment="1" applyProtection="1">
      <alignment vertical="center"/>
      <protection locked="0"/>
    </xf>
    <xf numFmtId="44" fontId="2" fillId="17" borderId="8" xfId="24" applyFont="1" applyFill="1" applyBorder="1" applyAlignment="1" applyProtection="1">
      <alignment vertical="center"/>
      <protection locked="0"/>
    </xf>
    <xf numFmtId="44" fontId="2" fillId="17" borderId="18" xfId="24" applyFont="1" applyFill="1" applyBorder="1" applyAlignment="1" applyProtection="1">
      <alignment vertical="center"/>
      <protection locked="0"/>
    </xf>
    <xf numFmtId="44" fontId="1" fillId="17" borderId="18" xfId="24" applyFont="1" applyFill="1" applyBorder="1" applyAlignment="1" applyProtection="1">
      <alignment vertical="center"/>
      <protection locked="0"/>
    </xf>
    <xf numFmtId="0" fontId="1" fillId="22" borderId="0" xfId="0" applyFont="1" applyFill="1" applyAlignment="1">
      <alignment horizontal="center" vertical="center"/>
    </xf>
    <xf numFmtId="0" fontId="1" fillId="9" borderId="0" xfId="0" applyFont="1" applyFill="1" applyAlignment="1">
      <alignment horizontal="center" vertical="center"/>
    </xf>
    <xf numFmtId="0" fontId="1" fillId="14" borderId="0" xfId="0" applyFont="1" applyFill="1" applyAlignment="1">
      <alignment horizontal="center" vertical="center"/>
    </xf>
    <xf numFmtId="0" fontId="0" fillId="22" borderId="0" xfId="0" applyFill="1" applyAlignment="1">
      <alignment vertical="center"/>
    </xf>
    <xf numFmtId="0" fontId="1" fillId="22" borderId="0" xfId="0" applyFont="1" applyFill="1" applyAlignment="1">
      <alignment vertical="center"/>
    </xf>
    <xf numFmtId="0" fontId="0" fillId="9" borderId="0" xfId="0" applyFill="1" applyAlignment="1">
      <alignment vertical="center"/>
    </xf>
    <xf numFmtId="0" fontId="0" fillId="14" borderId="0" xfId="26" applyFont="1" applyFill="1" applyAlignment="1">
      <alignment vertical="center"/>
    </xf>
    <xf numFmtId="0" fontId="0" fillId="0" borderId="0" xfId="27" applyFont="1" applyAlignment="1" applyProtection="1">
      <alignment vertical="center"/>
      <protection hidden="1"/>
    </xf>
    <xf numFmtId="0" fontId="0" fillId="9" borderId="0" xfId="27" applyFont="1" applyFill="1" applyAlignment="1" applyProtection="1">
      <alignment vertical="center"/>
      <protection hidden="1"/>
    </xf>
    <xf numFmtId="0" fontId="43" fillId="22" borderId="0" xfId="0" applyFont="1" applyFill="1" applyAlignment="1">
      <alignment horizontal="center" vertical="center"/>
    </xf>
    <xf numFmtId="0" fontId="43" fillId="9" borderId="0" xfId="27" applyFont="1" applyFill="1" applyAlignment="1" applyProtection="1">
      <alignment vertical="center"/>
      <protection hidden="1"/>
    </xf>
    <xf numFmtId="0" fontId="43" fillId="9" borderId="0" xfId="0" applyFont="1" applyFill="1" applyAlignment="1">
      <alignment vertical="center"/>
    </xf>
    <xf numFmtId="0" fontId="0" fillId="22" borderId="0" xfId="27" applyFont="1" applyFill="1" applyAlignment="1" applyProtection="1">
      <alignment vertical="center"/>
      <protection hidden="1"/>
    </xf>
    <xf numFmtId="0" fontId="0" fillId="0" borderId="0" xfId="0" applyAlignment="1">
      <alignment vertical="center" wrapText="1"/>
    </xf>
    <xf numFmtId="0" fontId="0" fillId="0" borderId="0" xfId="28" applyFont="1" applyAlignment="1" applyProtection="1">
      <alignment vertical="center"/>
      <protection hidden="1"/>
    </xf>
    <xf numFmtId="0" fontId="0" fillId="22" borderId="0" xfId="28" applyFont="1" applyFill="1" applyAlignment="1" applyProtection="1">
      <alignment vertical="center"/>
      <protection hidden="1"/>
    </xf>
    <xf numFmtId="0" fontId="0" fillId="9" borderId="0" xfId="28" applyFont="1" applyFill="1" applyAlignment="1" applyProtection="1">
      <alignment vertical="center"/>
      <protection hidden="1"/>
    </xf>
    <xf numFmtId="0" fontId="0" fillId="14" borderId="0" xfId="28" applyFont="1" applyFill="1" applyAlignment="1" applyProtection="1">
      <alignment vertical="center"/>
      <protection hidden="1"/>
    </xf>
    <xf numFmtId="0" fontId="46" fillId="20" borderId="0" xfId="0" applyFont="1" applyFill="1" applyAlignment="1">
      <alignment horizontal="center" vertical="center"/>
    </xf>
    <xf numFmtId="0" fontId="1" fillId="20" borderId="0" xfId="0" applyFont="1" applyFill="1" applyAlignment="1">
      <alignment horizontal="left" indent="1"/>
    </xf>
    <xf numFmtId="0" fontId="9" fillId="20" borderId="0" xfId="0" applyFont="1" applyFill="1" applyAlignment="1">
      <alignment horizontal="center"/>
    </xf>
    <xf numFmtId="0" fontId="9" fillId="20" borderId="0" xfId="0" applyFont="1" applyFill="1"/>
    <xf numFmtId="0" fontId="2" fillId="20" borderId="0" xfId="0" applyFont="1" applyFill="1"/>
    <xf numFmtId="0" fontId="0" fillId="20" borderId="0" xfId="0" applyFill="1" applyAlignment="1">
      <alignment horizontal="left" indent="1"/>
    </xf>
    <xf numFmtId="0" fontId="0" fillId="20" borderId="0" xfId="0" applyFill="1" applyAlignment="1">
      <alignment horizontal="left" indent="3"/>
    </xf>
    <xf numFmtId="0" fontId="6" fillId="20" borderId="0" xfId="0" applyFont="1" applyFill="1"/>
    <xf numFmtId="0" fontId="0" fillId="20" borderId="0" xfId="0" applyFill="1"/>
    <xf numFmtId="41" fontId="0" fillId="20" borderId="0" xfId="0" applyNumberFormat="1" applyFill="1" applyProtection="1">
      <protection locked="0"/>
    </xf>
    <xf numFmtId="41" fontId="0" fillId="20" borderId="0" xfId="0" applyNumberFormat="1" applyFill="1"/>
    <xf numFmtId="41" fontId="0" fillId="20" borderId="0" xfId="1" applyNumberFormat="1" applyFont="1" applyFill="1"/>
    <xf numFmtId="41" fontId="0" fillId="20" borderId="1" xfId="0" applyNumberFormat="1" applyFill="1" applyBorder="1" applyProtection="1">
      <protection locked="0"/>
    </xf>
    <xf numFmtId="41" fontId="0" fillId="20" borderId="1" xfId="1" applyNumberFormat="1" applyFont="1" applyFill="1" applyBorder="1"/>
    <xf numFmtId="41" fontId="0" fillId="20" borderId="4" xfId="0" applyNumberFormat="1" applyFill="1" applyBorder="1"/>
    <xf numFmtId="41" fontId="0" fillId="20" borderId="4" xfId="1" applyNumberFormat="1" applyFont="1" applyFill="1" applyBorder="1"/>
    <xf numFmtId="0" fontId="16" fillId="20" borderId="0" xfId="0" applyFont="1" applyFill="1" applyAlignment="1">
      <alignment horizontal="center"/>
    </xf>
    <xf numFmtId="0" fontId="1" fillId="9" borderId="22" xfId="0" applyFont="1" applyFill="1" applyBorder="1"/>
    <xf numFmtId="44" fontId="1" fillId="0" borderId="16" xfId="24" applyFont="1" applyFill="1" applyBorder="1" applyAlignment="1" applyProtection="1">
      <alignment horizontal="center"/>
    </xf>
    <xf numFmtId="44" fontId="1" fillId="0" borderId="16" xfId="24" applyFont="1" applyFill="1" applyBorder="1" applyAlignment="1" applyProtection="1">
      <alignment horizontal="center" vertical="center"/>
    </xf>
    <xf numFmtId="0" fontId="63" fillId="0" borderId="8" xfId="25" applyFont="1" applyBorder="1" applyAlignment="1">
      <alignment vertical="center"/>
    </xf>
    <xf numFmtId="0" fontId="0" fillId="0" borderId="8" xfId="0" applyBorder="1" applyAlignment="1" applyProtection="1">
      <alignment vertical="center" wrapText="1"/>
      <protection locked="0"/>
    </xf>
    <xf numFmtId="44" fontId="2" fillId="17" borderId="16" xfId="24" applyFont="1" applyFill="1" applyBorder="1" applyAlignment="1" applyProtection="1">
      <alignment horizontal="center" vertical="center"/>
    </xf>
    <xf numFmtId="44" fontId="1" fillId="17" borderId="16" xfId="24" applyFont="1" applyFill="1" applyBorder="1" applyAlignment="1" applyProtection="1">
      <alignment horizontal="center" vertical="center"/>
    </xf>
    <xf numFmtId="44" fontId="2" fillId="17" borderId="8" xfId="24" applyFont="1" applyFill="1" applyBorder="1" applyAlignment="1" applyProtection="1">
      <alignment vertical="center"/>
    </xf>
    <xf numFmtId="44" fontId="1" fillId="17" borderId="8" xfId="24" applyFont="1" applyFill="1" applyBorder="1" applyAlignment="1" applyProtection="1">
      <alignment vertical="center"/>
    </xf>
    <xf numFmtId="43" fontId="12" fillId="21" borderId="5" xfId="1" applyFont="1" applyFill="1" applyBorder="1" applyAlignment="1" applyProtection="1">
      <alignment vertical="center"/>
    </xf>
    <xf numFmtId="43" fontId="64" fillId="19" borderId="8" xfId="1" applyFont="1" applyFill="1" applyBorder="1" applyAlignment="1" applyProtection="1">
      <alignment vertical="center"/>
    </xf>
    <xf numFmtId="0" fontId="1" fillId="0" borderId="8" xfId="0" applyFont="1" applyBorder="1"/>
    <xf numFmtId="0" fontId="0" fillId="0" borderId="8" xfId="0" applyBorder="1" applyAlignment="1">
      <alignment wrapText="1"/>
    </xf>
    <xf numFmtId="0" fontId="1" fillId="0" borderId="8" xfId="0" applyFont="1" applyBorder="1" applyAlignment="1">
      <alignment horizontal="left" vertical="center" wrapText="1"/>
    </xf>
    <xf numFmtId="0" fontId="1" fillId="17" borderId="8" xfId="0" applyFont="1" applyFill="1" applyBorder="1" applyAlignment="1">
      <alignment horizontal="left" wrapText="1" indent="1"/>
    </xf>
    <xf numFmtId="0" fontId="1" fillId="17" borderId="8" xfId="0" applyFont="1" applyFill="1" applyBorder="1" applyAlignment="1">
      <alignment horizontal="left" vertical="center" wrapText="1"/>
    </xf>
    <xf numFmtId="44" fontId="2" fillId="17" borderId="18" xfId="24" applyFont="1" applyFill="1" applyBorder="1" applyAlignment="1" applyProtection="1">
      <alignment vertical="center"/>
    </xf>
    <xf numFmtId="0" fontId="0" fillId="0" borderId="4" xfId="0" applyBorder="1" applyAlignment="1">
      <alignment wrapText="1"/>
    </xf>
    <xf numFmtId="44" fontId="1" fillId="17" borderId="18" xfId="24" applyFont="1" applyFill="1" applyBorder="1" applyAlignment="1" applyProtection="1">
      <alignment vertical="center"/>
    </xf>
    <xf numFmtId="0" fontId="1" fillId="17" borderId="8" xfId="0" applyFont="1" applyFill="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 fillId="0" borderId="0" xfId="0" applyFont="1" applyAlignment="1">
      <alignment horizontal="center"/>
    </xf>
    <xf numFmtId="0" fontId="15" fillId="0" borderId="0" xfId="0" applyFont="1" applyAlignment="1">
      <alignment horizontal="center"/>
    </xf>
    <xf numFmtId="0" fontId="52" fillId="0" borderId="0" xfId="22" applyFont="1" applyAlignment="1">
      <alignment horizontal="center"/>
    </xf>
    <xf numFmtId="175" fontId="54" fillId="0" borderId="0" xfId="23" applyNumberFormat="1" applyFont="1" applyAlignment="1" applyProtection="1">
      <alignment horizontal="center"/>
    </xf>
    <xf numFmtId="0" fontId="9" fillId="0" borderId="0" xfId="0" applyFont="1" applyAlignment="1">
      <alignment horizontal="center" wrapText="1"/>
    </xf>
    <xf numFmtId="0" fontId="9" fillId="0" borderId="1" xfId="0" applyFont="1" applyBorder="1" applyAlignment="1">
      <alignment horizontal="center" wrapText="1"/>
    </xf>
    <xf numFmtId="0" fontId="1"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center"/>
    </xf>
    <xf numFmtId="0" fontId="1" fillId="9" borderId="17" xfId="0" quotePrefix="1" applyFont="1" applyFill="1" applyBorder="1" applyAlignment="1">
      <alignment vertical="center" wrapText="1"/>
    </xf>
    <xf numFmtId="0" fontId="1" fillId="9" borderId="6" xfId="0" quotePrefix="1" applyFont="1" applyFill="1" applyBorder="1" applyAlignment="1">
      <alignment vertical="center" wrapText="1"/>
    </xf>
    <xf numFmtId="0" fontId="1" fillId="16" borderId="15" xfId="0" applyFont="1" applyFill="1" applyBorder="1" applyAlignment="1">
      <alignment horizontal="center" vertical="center"/>
    </xf>
    <xf numFmtId="0" fontId="2" fillId="14" borderId="13" xfId="0" applyFont="1" applyFill="1" applyBorder="1" applyAlignment="1">
      <alignment horizontal="center"/>
    </xf>
    <xf numFmtId="0" fontId="2" fillId="14" borderId="4" xfId="0" applyFont="1" applyFill="1" applyBorder="1" applyAlignment="1">
      <alignment horizontal="center"/>
    </xf>
    <xf numFmtId="0" fontId="2" fillId="14" borderId="14" xfId="0" applyFont="1" applyFill="1" applyBorder="1" applyAlignment="1">
      <alignment horizontal="center"/>
    </xf>
    <xf numFmtId="0" fontId="76" fillId="9" borderId="17" xfId="0" quotePrefix="1" applyFont="1" applyFill="1" applyBorder="1" applyAlignment="1">
      <alignment horizontal="left" vertical="center"/>
    </xf>
    <xf numFmtId="0" fontId="76" fillId="9" borderId="6" xfId="0" quotePrefix="1" applyFont="1" applyFill="1" applyBorder="1" applyAlignment="1">
      <alignment horizontal="left" vertical="center"/>
    </xf>
    <xf numFmtId="0" fontId="76" fillId="9" borderId="7" xfId="0" quotePrefix="1" applyFont="1" applyFill="1" applyBorder="1" applyAlignment="1">
      <alignment horizontal="left" vertical="center"/>
    </xf>
    <xf numFmtId="0" fontId="1" fillId="9" borderId="9" xfId="0" quotePrefix="1" applyFont="1" applyFill="1" applyBorder="1" applyAlignment="1">
      <alignment horizontal="left" vertical="center" wrapText="1"/>
    </xf>
    <xf numFmtId="0" fontId="1" fillId="9" borderId="0" xfId="0" quotePrefix="1" applyFont="1" applyFill="1" applyAlignment="1">
      <alignment horizontal="left" vertical="center" wrapText="1"/>
    </xf>
    <xf numFmtId="0" fontId="1" fillId="9" borderId="10" xfId="0" quotePrefix="1" applyFont="1" applyFill="1" applyBorder="1" applyAlignment="1">
      <alignment horizontal="left" vertical="center" wrapText="1"/>
    </xf>
    <xf numFmtId="0" fontId="1" fillId="15" borderId="8" xfId="0" applyFont="1" applyFill="1" applyBorder="1" applyAlignment="1">
      <alignment horizontal="center"/>
    </xf>
    <xf numFmtId="0" fontId="2" fillId="18" borderId="13" xfId="0" applyFont="1" applyFill="1" applyBorder="1" applyAlignment="1">
      <alignment horizontal="left"/>
    </xf>
    <xf numFmtId="0" fontId="2" fillId="18" borderId="4" xfId="0" applyFont="1" applyFill="1" applyBorder="1" applyAlignment="1">
      <alignment horizontal="left"/>
    </xf>
    <xf numFmtId="0" fontId="2" fillId="18" borderId="14" xfId="0" applyFont="1" applyFill="1" applyBorder="1" applyAlignment="1">
      <alignment horizontal="left"/>
    </xf>
    <xf numFmtId="0" fontId="2" fillId="19" borderId="13" xfId="0" applyFont="1" applyFill="1" applyBorder="1" applyAlignment="1">
      <alignment horizontal="center" vertical="center"/>
    </xf>
    <xf numFmtId="0" fontId="2" fillId="19" borderId="4" xfId="0" applyFont="1" applyFill="1" applyBorder="1" applyAlignment="1">
      <alignment horizontal="center" vertical="center"/>
    </xf>
    <xf numFmtId="0" fontId="2" fillId="19" borderId="14" xfId="0" applyFont="1" applyFill="1" applyBorder="1" applyAlignment="1">
      <alignment horizontal="center" vertical="center"/>
    </xf>
    <xf numFmtId="44" fontId="1" fillId="17" borderId="13" xfId="24" applyFont="1" applyFill="1" applyBorder="1" applyAlignment="1" applyProtection="1">
      <alignment horizontal="center" vertical="center" wrapText="1"/>
    </xf>
    <xf numFmtId="44" fontId="1" fillId="17" borderId="14" xfId="24" applyFont="1" applyFill="1" applyBorder="1" applyAlignment="1" applyProtection="1">
      <alignment horizontal="center" vertical="center" wrapText="1"/>
    </xf>
    <xf numFmtId="43" fontId="71" fillId="21" borderId="4" xfId="1" applyFont="1" applyFill="1" applyBorder="1" applyAlignment="1" applyProtection="1">
      <alignment horizontal="center" vertical="center"/>
    </xf>
    <xf numFmtId="43" fontId="71" fillId="21" borderId="19" xfId="1" applyFont="1" applyFill="1" applyBorder="1" applyAlignment="1" applyProtection="1">
      <alignment horizontal="center" vertical="center"/>
    </xf>
    <xf numFmtId="43" fontId="70" fillId="21" borderId="4" xfId="1" applyFont="1" applyFill="1" applyBorder="1" applyAlignment="1" applyProtection="1">
      <alignment horizontal="center" vertical="center"/>
    </xf>
    <xf numFmtId="43" fontId="70" fillId="21" borderId="19" xfId="1" applyFont="1" applyFill="1" applyBorder="1" applyAlignment="1" applyProtection="1">
      <alignment horizontal="center" vertical="center"/>
    </xf>
    <xf numFmtId="0" fontId="75" fillId="20" borderId="17" xfId="0" applyFont="1" applyFill="1" applyBorder="1" applyAlignment="1">
      <alignment horizontal="center" vertical="center"/>
    </xf>
    <xf numFmtId="0" fontId="75" fillId="20" borderId="6" xfId="0" applyFont="1" applyFill="1" applyBorder="1" applyAlignment="1">
      <alignment horizontal="center" vertical="center"/>
    </xf>
    <xf numFmtId="0" fontId="75" fillId="20" borderId="7" xfId="0" applyFont="1" applyFill="1" applyBorder="1" applyAlignment="1">
      <alignment horizontal="center" vertical="center"/>
    </xf>
    <xf numFmtId="0" fontId="1" fillId="9" borderId="20" xfId="0" quotePrefix="1" applyFont="1" applyFill="1" applyBorder="1" applyAlignment="1">
      <alignment vertical="center" wrapText="1"/>
    </xf>
    <xf numFmtId="0" fontId="1" fillId="9" borderId="21" xfId="0" quotePrefix="1" applyFont="1" applyFill="1" applyBorder="1" applyAlignment="1">
      <alignment vertical="center" wrapText="1"/>
    </xf>
  </cellXfs>
  <cellStyles count="29">
    <cellStyle name="Comma" xfId="1" builtinId="3"/>
    <cellStyle name="Currency" xfId="24" builtinId="4"/>
    <cellStyle name="Exhibit No." xfId="2" xr:uid="{00000000-0005-0000-0000-000001000000}"/>
    <cellStyle name="HeadStateofNC" xfId="3" xr:uid="{00000000-0005-0000-0000-000002000000}"/>
    <cellStyle name="HeadTitles" xfId="4" xr:uid="{00000000-0005-0000-0000-000003000000}"/>
    <cellStyle name="HeadYE_Date" xfId="5" xr:uid="{00000000-0005-0000-0000-000004000000}"/>
    <cellStyle name="Hyperlink" xfId="23" builtinId="8"/>
    <cellStyle name="Normal" xfId="0" builtinId="0"/>
    <cellStyle name="Normal 2" xfId="6" xr:uid="{00000000-0005-0000-0000-000006000000}"/>
    <cellStyle name="Normal 3" xfId="7" xr:uid="{00000000-0005-0000-0000-000007000000}"/>
    <cellStyle name="Normal 4" xfId="8" xr:uid="{00000000-0005-0000-0000-000008000000}"/>
    <cellStyle name="Normal 5" xfId="9" xr:uid="{00000000-0005-0000-0000-000009000000}"/>
    <cellStyle name="Normal 6" xfId="21" xr:uid="{6FE58C0A-A819-4C48-93CC-88BA5637D4CB}"/>
    <cellStyle name="Normal_2005Collproforma" xfId="10" xr:uid="{00000000-0005-0000-0000-00000A000000}"/>
    <cellStyle name="Normal_a3p04" xfId="25" xr:uid="{AD5B22C5-DFFB-4809-B223-DA0725F537CA}"/>
    <cellStyle name="Normal_a7p01" xfId="28" xr:uid="{51A455DF-43EA-45B2-B3D4-BE1B3B8DE91C}"/>
    <cellStyle name="Normal_a7p02" xfId="27" xr:uid="{35C82262-31BE-4212-AC65-624225A7805C}"/>
    <cellStyle name="Normal_a7p03" xfId="26" xr:uid="{F9929E48-8CCB-4BEE-883D-BFBA9EA1C154}"/>
    <cellStyle name="Normal_UnivExcl" xfId="22" xr:uid="{36D691F0-C47F-4170-AAAC-0BC44A7AD0DA}"/>
    <cellStyle name="Number$ -" xfId="11" xr:uid="{00000000-0005-0000-0000-00000B000000}"/>
    <cellStyle name="Number-no $ -" xfId="12" xr:uid="{00000000-0005-0000-0000-00000C000000}"/>
    <cellStyle name="NumberTotal$ -" xfId="13" xr:uid="{00000000-0005-0000-0000-00000D000000}"/>
    <cellStyle name="NumberTotal-no $ -" xfId="14" xr:uid="{00000000-0005-0000-0000-00000E000000}"/>
    <cellStyle name="NumNo$" xfId="15" xr:uid="{00000000-0005-0000-0000-00000F000000}"/>
    <cellStyle name="NumNo$ 2" xfId="16" xr:uid="{00000000-0005-0000-0000-000010000000}"/>
    <cellStyle name="NumTotD" xfId="17" xr:uid="{00000000-0005-0000-0000-000011000000}"/>
    <cellStyle name="NumTotD 2" xfId="18" xr:uid="{00000000-0005-0000-0000-000012000000}"/>
    <cellStyle name="NumTotNo$" xfId="19" xr:uid="{00000000-0005-0000-0000-000013000000}"/>
    <cellStyle name="NumTotNo$ 2" xfId="20" xr:uid="{00000000-0005-0000-0000-000014000000}"/>
  </cellStyles>
  <dxfs count="68">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ill>
        <patternFill>
          <bgColor theme="5" tint="0.5999633777886288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1314450</xdr:colOff>
      <xdr:row>16</xdr:row>
      <xdr:rowOff>85725</xdr:rowOff>
    </xdr:from>
    <xdr:to>
      <xdr:col>2</xdr:col>
      <xdr:colOff>1838325</xdr:colOff>
      <xdr:row>16</xdr:row>
      <xdr:rowOff>85725</xdr:rowOff>
    </xdr:to>
    <xdr:sp macro="" textlink="">
      <xdr:nvSpPr>
        <xdr:cNvPr id="13933" name="Line 3">
          <a:extLst>
            <a:ext uri="{FF2B5EF4-FFF2-40B4-BE49-F238E27FC236}">
              <a16:creationId xmlns:a16="http://schemas.microsoft.com/office/drawing/2014/main" id="{00000000-0008-0000-0100-00006D360000}"/>
            </a:ext>
          </a:extLst>
        </xdr:cNvPr>
        <xdr:cNvSpPr>
          <a:spLocks noChangeShapeType="1"/>
        </xdr:cNvSpPr>
      </xdr:nvSpPr>
      <xdr:spPr bwMode="auto">
        <a:xfrm>
          <a:off x="2343150" y="21812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18</xdr:row>
      <xdr:rowOff>85725</xdr:rowOff>
    </xdr:from>
    <xdr:to>
      <xdr:col>2</xdr:col>
      <xdr:colOff>1838325</xdr:colOff>
      <xdr:row>18</xdr:row>
      <xdr:rowOff>85725</xdr:rowOff>
    </xdr:to>
    <xdr:sp macro="" textlink="">
      <xdr:nvSpPr>
        <xdr:cNvPr id="13934" name="Line 4">
          <a:extLst>
            <a:ext uri="{FF2B5EF4-FFF2-40B4-BE49-F238E27FC236}">
              <a16:creationId xmlns:a16="http://schemas.microsoft.com/office/drawing/2014/main" id="{00000000-0008-0000-0100-00006E360000}"/>
            </a:ext>
          </a:extLst>
        </xdr:cNvPr>
        <xdr:cNvSpPr>
          <a:spLocks noChangeShapeType="1"/>
        </xdr:cNvSpPr>
      </xdr:nvSpPr>
      <xdr:spPr bwMode="auto">
        <a:xfrm>
          <a:off x="2343150" y="24003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20</xdr:row>
      <xdr:rowOff>85725</xdr:rowOff>
    </xdr:from>
    <xdr:to>
      <xdr:col>2</xdr:col>
      <xdr:colOff>1838325</xdr:colOff>
      <xdr:row>20</xdr:row>
      <xdr:rowOff>85725</xdr:rowOff>
    </xdr:to>
    <xdr:sp macro="" textlink="">
      <xdr:nvSpPr>
        <xdr:cNvPr id="13935" name="Line 5">
          <a:extLst>
            <a:ext uri="{FF2B5EF4-FFF2-40B4-BE49-F238E27FC236}">
              <a16:creationId xmlns:a16="http://schemas.microsoft.com/office/drawing/2014/main" id="{00000000-0008-0000-0100-00006F360000}"/>
            </a:ext>
          </a:extLst>
        </xdr:cNvPr>
        <xdr:cNvSpPr>
          <a:spLocks noChangeShapeType="1"/>
        </xdr:cNvSpPr>
      </xdr:nvSpPr>
      <xdr:spPr bwMode="auto">
        <a:xfrm>
          <a:off x="2343150" y="26193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22</xdr:row>
      <xdr:rowOff>85725</xdr:rowOff>
    </xdr:from>
    <xdr:to>
      <xdr:col>2</xdr:col>
      <xdr:colOff>1838325</xdr:colOff>
      <xdr:row>22</xdr:row>
      <xdr:rowOff>85725</xdr:rowOff>
    </xdr:to>
    <xdr:sp macro="" textlink="">
      <xdr:nvSpPr>
        <xdr:cNvPr id="13936" name="Line 6">
          <a:extLst>
            <a:ext uri="{FF2B5EF4-FFF2-40B4-BE49-F238E27FC236}">
              <a16:creationId xmlns:a16="http://schemas.microsoft.com/office/drawing/2014/main" id="{00000000-0008-0000-0100-000070360000}"/>
            </a:ext>
          </a:extLst>
        </xdr:cNvPr>
        <xdr:cNvSpPr>
          <a:spLocks noChangeShapeType="1"/>
        </xdr:cNvSpPr>
      </xdr:nvSpPr>
      <xdr:spPr bwMode="auto">
        <a:xfrm>
          <a:off x="2343150" y="28384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24</xdr:row>
      <xdr:rowOff>85725</xdr:rowOff>
    </xdr:from>
    <xdr:to>
      <xdr:col>2</xdr:col>
      <xdr:colOff>1838325</xdr:colOff>
      <xdr:row>24</xdr:row>
      <xdr:rowOff>85725</xdr:rowOff>
    </xdr:to>
    <xdr:sp macro="" textlink="">
      <xdr:nvSpPr>
        <xdr:cNvPr id="13937" name="Line 7">
          <a:extLst>
            <a:ext uri="{FF2B5EF4-FFF2-40B4-BE49-F238E27FC236}">
              <a16:creationId xmlns:a16="http://schemas.microsoft.com/office/drawing/2014/main" id="{00000000-0008-0000-0100-000071360000}"/>
            </a:ext>
          </a:extLst>
        </xdr:cNvPr>
        <xdr:cNvSpPr>
          <a:spLocks noChangeShapeType="1"/>
        </xdr:cNvSpPr>
      </xdr:nvSpPr>
      <xdr:spPr bwMode="auto">
        <a:xfrm>
          <a:off x="2343150" y="30575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6</xdr:row>
      <xdr:rowOff>85725</xdr:rowOff>
    </xdr:from>
    <xdr:to>
      <xdr:col>2</xdr:col>
      <xdr:colOff>1838325</xdr:colOff>
      <xdr:row>6</xdr:row>
      <xdr:rowOff>85725</xdr:rowOff>
    </xdr:to>
    <xdr:sp macro="" textlink="">
      <xdr:nvSpPr>
        <xdr:cNvPr id="13938" name="Line 9">
          <a:extLst>
            <a:ext uri="{FF2B5EF4-FFF2-40B4-BE49-F238E27FC236}">
              <a16:creationId xmlns:a16="http://schemas.microsoft.com/office/drawing/2014/main" id="{00000000-0008-0000-0100-000072360000}"/>
            </a:ext>
          </a:extLst>
        </xdr:cNvPr>
        <xdr:cNvSpPr>
          <a:spLocks noChangeShapeType="1"/>
        </xdr:cNvSpPr>
      </xdr:nvSpPr>
      <xdr:spPr bwMode="auto">
        <a:xfrm>
          <a:off x="2343150" y="9239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39" name="Line 10">
          <a:extLst>
            <a:ext uri="{FF2B5EF4-FFF2-40B4-BE49-F238E27FC236}">
              <a16:creationId xmlns:a16="http://schemas.microsoft.com/office/drawing/2014/main" id="{00000000-0008-0000-0100-000073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40" name="Line 11">
          <a:extLst>
            <a:ext uri="{FF2B5EF4-FFF2-40B4-BE49-F238E27FC236}">
              <a16:creationId xmlns:a16="http://schemas.microsoft.com/office/drawing/2014/main" id="{00000000-0008-0000-0100-000074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1" name="Line 12">
          <a:extLst>
            <a:ext uri="{FF2B5EF4-FFF2-40B4-BE49-F238E27FC236}">
              <a16:creationId xmlns:a16="http://schemas.microsoft.com/office/drawing/2014/main" id="{00000000-0008-0000-0100-000075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2" name="Line 13">
          <a:extLst>
            <a:ext uri="{FF2B5EF4-FFF2-40B4-BE49-F238E27FC236}">
              <a16:creationId xmlns:a16="http://schemas.microsoft.com/office/drawing/2014/main" id="{00000000-0008-0000-0100-000076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3" name="Line 14">
          <a:extLst>
            <a:ext uri="{FF2B5EF4-FFF2-40B4-BE49-F238E27FC236}">
              <a16:creationId xmlns:a16="http://schemas.microsoft.com/office/drawing/2014/main" id="{00000000-0008-0000-0100-000077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4" name="Line 15">
          <a:extLst>
            <a:ext uri="{FF2B5EF4-FFF2-40B4-BE49-F238E27FC236}">
              <a16:creationId xmlns:a16="http://schemas.microsoft.com/office/drawing/2014/main" id="{00000000-0008-0000-0100-000078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1304925</xdr:colOff>
      <xdr:row>11</xdr:row>
      <xdr:rowOff>85725</xdr:rowOff>
    </xdr:from>
    <xdr:to>
      <xdr:col>2</xdr:col>
      <xdr:colOff>1828800</xdr:colOff>
      <xdr:row>11</xdr:row>
      <xdr:rowOff>85725</xdr:rowOff>
    </xdr:to>
    <xdr:sp macro="" textlink="">
      <xdr:nvSpPr>
        <xdr:cNvPr id="13945" name="Line 16">
          <a:extLst>
            <a:ext uri="{FF2B5EF4-FFF2-40B4-BE49-F238E27FC236}">
              <a16:creationId xmlns:a16="http://schemas.microsoft.com/office/drawing/2014/main" id="{00000000-0008-0000-0100-000079360000}"/>
            </a:ext>
          </a:extLst>
        </xdr:cNvPr>
        <xdr:cNvSpPr>
          <a:spLocks noChangeShapeType="1"/>
        </xdr:cNvSpPr>
      </xdr:nvSpPr>
      <xdr:spPr bwMode="auto">
        <a:xfrm>
          <a:off x="2333625"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6" name="Line 17">
          <a:extLst>
            <a:ext uri="{FF2B5EF4-FFF2-40B4-BE49-F238E27FC236}">
              <a16:creationId xmlns:a16="http://schemas.microsoft.com/office/drawing/2014/main" id="{00000000-0008-0000-0100-00007A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3947" name="Line 78">
          <a:extLst>
            <a:ext uri="{FF2B5EF4-FFF2-40B4-BE49-F238E27FC236}">
              <a16:creationId xmlns:a16="http://schemas.microsoft.com/office/drawing/2014/main" id="{00000000-0008-0000-0100-00007B360000}"/>
            </a:ext>
          </a:extLst>
        </xdr:cNvPr>
        <xdr:cNvSpPr>
          <a:spLocks noChangeShapeType="1"/>
        </xdr:cNvSpPr>
      </xdr:nvSpPr>
      <xdr:spPr bwMode="auto">
        <a:xfrm>
          <a:off x="2343150"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3948" name="Line 79">
          <a:extLst>
            <a:ext uri="{FF2B5EF4-FFF2-40B4-BE49-F238E27FC236}">
              <a16:creationId xmlns:a16="http://schemas.microsoft.com/office/drawing/2014/main" id="{00000000-0008-0000-0100-00007C360000}"/>
            </a:ext>
          </a:extLst>
        </xdr:cNvPr>
        <xdr:cNvSpPr>
          <a:spLocks noChangeShapeType="1"/>
        </xdr:cNvSpPr>
      </xdr:nvSpPr>
      <xdr:spPr bwMode="auto">
        <a:xfrm>
          <a:off x="2343150"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49" name="Line 80">
          <a:extLst>
            <a:ext uri="{FF2B5EF4-FFF2-40B4-BE49-F238E27FC236}">
              <a16:creationId xmlns:a16="http://schemas.microsoft.com/office/drawing/2014/main" id="{00000000-0008-0000-0100-00007D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50" name="Line 81">
          <a:extLst>
            <a:ext uri="{FF2B5EF4-FFF2-40B4-BE49-F238E27FC236}">
              <a16:creationId xmlns:a16="http://schemas.microsoft.com/office/drawing/2014/main" id="{00000000-0008-0000-0100-00007E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3951" name="Line 82">
          <a:extLst>
            <a:ext uri="{FF2B5EF4-FFF2-40B4-BE49-F238E27FC236}">
              <a16:creationId xmlns:a16="http://schemas.microsoft.com/office/drawing/2014/main" id="{00000000-0008-0000-0100-00007F360000}"/>
            </a:ext>
          </a:extLst>
        </xdr:cNvPr>
        <xdr:cNvSpPr>
          <a:spLocks noChangeShapeType="1"/>
        </xdr:cNvSpPr>
      </xdr:nvSpPr>
      <xdr:spPr bwMode="auto">
        <a:xfrm>
          <a:off x="2343150" y="7620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3952" name="Line 83">
          <a:extLst>
            <a:ext uri="{FF2B5EF4-FFF2-40B4-BE49-F238E27FC236}">
              <a16:creationId xmlns:a16="http://schemas.microsoft.com/office/drawing/2014/main" id="{00000000-0008-0000-0100-000080360000}"/>
            </a:ext>
          </a:extLst>
        </xdr:cNvPr>
        <xdr:cNvSpPr>
          <a:spLocks noChangeShapeType="1"/>
        </xdr:cNvSpPr>
      </xdr:nvSpPr>
      <xdr:spPr bwMode="auto">
        <a:xfrm>
          <a:off x="2343150" y="7620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Krellner, John R" id="{AEDD07EE-9C13-4BB1-9079-054C38A5C8D6}" userId="S::John.Krellner@osc.nc.gov::ab49202d-72c8-4758-b72b-fd419801a668" providerId="AD"/>
  <person displayName="Patcha Kidking" id="{80EEEE72-0C26-4351-BDAC-FCFA1D8E7358}" userId="S::Patcha.Kidking@ncosc.gov::0db6f355-e063-4309-9c07-978053f7f62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2" dT="2023-03-22T20:49:38.93" personId="{AEDD07EE-9C13-4BB1-9079-054C38A5C8D6}" id="{4E5FA7D2-F31F-49BC-8977-911F7F545914}">
    <text>New account in FY2023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N18" dT="2024-06-25T21:59:53.18" personId="{80EEEE72-0C26-4351-BDAC-FCFA1D8E7358}" id="{201E29CC-945E-418F-BFFC-BE9F7A247ECA}">
    <text>Check if an account is not chosen at the line with restatement.</text>
  </threadedComment>
  <threadedComment ref="O18" dT="2024-06-25T21:59:39.60" personId="{80EEEE72-0C26-4351-BDAC-FCFA1D8E7358}" id="{FE7C1F45-7745-499C-B1DE-3E3F291E9B98}">
    <text>Check if an account is chosen at the line without restatement amount.</text>
  </threadedComment>
  <threadedComment ref="P18" dT="2024-06-25T21:35:54.92" personId="{80EEEE72-0C26-4351-BDAC-FCFA1D8E7358}" id="{2C73E404-22A1-4542-B626-82E118DEBA15}">
    <text>Check if Restatement reason is not chosen at the line with restatement.</text>
  </threadedComment>
  <threadedComment ref="Q18" dT="2024-06-25T21:36:14.02" personId="{80EEEE72-0C26-4351-BDAC-FCFA1D8E7358}" id="{6E1D9443-7CA1-4E05-84D6-A5C4731FD185}">
    <text>Check if Category is chosen at the line without restatement amount.</text>
  </threadedComment>
  <threadedComment ref="R18" dT="2024-06-25T21:50:33.54" personId="{80EEEE72-0C26-4351-BDAC-FCFA1D8E7358}" id="{B061EE0E-A053-4FC0-A09A-F5CE08F2EE10}">
    <text>Check Explanation column if foundation enters at the correct line.</text>
  </threadedComment>
  <threadedComment ref="N19" dT="2024-06-26T15:25:51.82" personId="{80EEEE72-0C26-4351-BDAC-FCFA1D8E7358}" id="{139A5A01-62B4-418C-BE1D-D171E67CA286}">
    <text xml:space="preserve">Cell O19 to T22 = Keep as is for now because this doesn't negatively affect the error check at row 46 &amp; 47. May update formula later if needed be. </text>
  </threadedComment>
  <threadedComment ref="L66" dT="2024-05-07T16:29:23.24" personId="{80EEEE72-0C26-4351-BDAC-FCFA1D8E7358}" id="{4B1B065A-DB34-4D31-92F4-143A2A521256}">
    <text>IF(SUM(D16:D19)&lt;&gt;0,IF(SUM(D22:D36)=0,"ERROR - Enter the beginning balance of row B, C, D or E","OK"))</text>
  </threadedComment>
</ThreadedComments>
</file>

<file path=xl/threadedComments/threadedComment3.xml><?xml version="1.0" encoding="utf-8"?>
<ThreadedComments xmlns="http://schemas.microsoft.com/office/spreadsheetml/2018/threadedcomments" xmlns:x="http://schemas.openxmlformats.org/spreadsheetml/2006/main">
  <threadedComment ref="N18" dT="2024-06-25T21:59:53.18" personId="{80EEEE72-0C26-4351-BDAC-FCFA1D8E7358}" id="{9EDA521E-C9B9-41FE-898B-B70ABA2BA426}">
    <text>Check if an account is not chosen at the line with restatement.</text>
  </threadedComment>
  <threadedComment ref="O18" dT="2024-06-25T21:59:39.60" personId="{80EEEE72-0C26-4351-BDAC-FCFA1D8E7358}" id="{5A0769E8-108E-4FAF-9E41-761D4F9EB6D4}">
    <text>Check if an account is chosen at the line without restatement amount.</text>
  </threadedComment>
  <threadedComment ref="P18" dT="2024-06-25T21:35:54.92" personId="{80EEEE72-0C26-4351-BDAC-FCFA1D8E7358}" id="{802CD8E5-DAC0-4DF3-8B1B-127862611A19}">
    <text>Check if Restatement reason is not chosen at the line with restatement.</text>
  </threadedComment>
  <threadedComment ref="Q18" dT="2024-06-25T21:36:14.02" personId="{80EEEE72-0C26-4351-BDAC-FCFA1D8E7358}" id="{B88CF562-4000-4409-A6E6-E498A655CD38}">
    <text>Check if Category is chosen at the line without restatement amount.</text>
  </threadedComment>
  <threadedComment ref="R18" dT="2024-06-25T21:50:33.54" personId="{80EEEE72-0C26-4351-BDAC-FCFA1D8E7358}" id="{7427F14F-DDF0-4ED0-BA55-32E7A3622520}">
    <text>Check Explanation column if foundation enters at the correct line.</text>
  </threadedComment>
  <threadedComment ref="N19" dT="2024-06-26T15:25:51.82" personId="{80EEEE72-0C26-4351-BDAC-FCFA1D8E7358}" id="{07814F62-D3AC-4537-AA7D-B596C9FC89D8}">
    <text xml:space="preserve">Cell O19 to T22 = Keep as is for now because this doesn't negatively affect the error check at row 46 &amp; 47. May update formula later if needed be. </text>
  </threadedComment>
  <threadedComment ref="L66" dT="2024-05-07T16:29:23.24" personId="{80EEEE72-0C26-4351-BDAC-FCFA1D8E7358}" id="{03397C91-6CD5-41D2-B52E-10AC1C1BB853}">
    <text>IF(SUM(D16:D19)&lt;&gt;0,IF(SUM(D22:D36)=0,"ERROR - Enter the beginning balance of row B, C, D or E","OK"))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ncosc.gov/sites/default/files/2025-01/GASB%20Standard%20100.pdf" TargetMode="External"/><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hyperlink" Target="https://www.ncosc.gov/sites/default/files/2025-01/GASB%20Standard%20100.pdf"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D22"/>
  <sheetViews>
    <sheetView showGridLines="0" tabSelected="1" zoomScale="110" zoomScaleNormal="110" workbookViewId="0">
      <selection activeCell="A12" sqref="A12"/>
    </sheetView>
  </sheetViews>
  <sheetFormatPr defaultRowHeight="13.2" x14ac:dyDescent="0.25"/>
  <cols>
    <col min="1" max="1" width="106.33203125" customWidth="1"/>
    <col min="2" max="2" width="27.6640625" customWidth="1"/>
    <col min="3" max="3" width="45.6640625" customWidth="1"/>
    <col min="4" max="4" width="16" customWidth="1"/>
  </cols>
  <sheetData>
    <row r="1" spans="1:4" ht="20.100000000000001" customHeight="1" x14ac:dyDescent="0.25">
      <c r="A1" s="26"/>
      <c r="B1" s="26"/>
      <c r="C1" s="26"/>
      <c r="D1" s="26"/>
    </row>
    <row r="2" spans="1:4" ht="15.6" x14ac:dyDescent="0.3">
      <c r="A2" s="37" t="s">
        <v>0</v>
      </c>
      <c r="B2" s="37"/>
      <c r="C2" s="37"/>
      <c r="D2" s="37"/>
    </row>
    <row r="3" spans="1:4" ht="15.6" x14ac:dyDescent="0.3">
      <c r="A3" s="37" t="s">
        <v>1</v>
      </c>
      <c r="B3" s="37"/>
      <c r="C3" s="37"/>
      <c r="D3" s="37"/>
    </row>
    <row r="4" spans="1:4" ht="15.6" x14ac:dyDescent="0.3">
      <c r="A4" s="41" t="s">
        <v>2</v>
      </c>
      <c r="B4" s="38"/>
      <c r="C4" s="38"/>
      <c r="D4" s="38"/>
    </row>
    <row r="5" spans="1:4" ht="12.75" customHeight="1" x14ac:dyDescent="0.25">
      <c r="A5" s="39"/>
      <c r="B5" s="39"/>
      <c r="C5" s="39"/>
      <c r="D5" s="39"/>
    </row>
    <row r="6" spans="1:4" ht="12.75" customHeight="1" x14ac:dyDescent="0.25">
      <c r="A6" s="26"/>
      <c r="B6" s="26"/>
      <c r="C6" s="26"/>
      <c r="D6" s="26"/>
    </row>
    <row r="7" spans="1:4" x14ac:dyDescent="0.25">
      <c r="A7" s="279" t="s">
        <v>3</v>
      </c>
      <c r="B7" s="279"/>
      <c r="C7" s="279"/>
      <c r="D7" s="279"/>
    </row>
    <row r="8" spans="1:4" x14ac:dyDescent="0.25">
      <c r="A8" s="279" t="s">
        <v>4</v>
      </c>
      <c r="B8" s="279"/>
      <c r="C8" s="279"/>
      <c r="D8" s="279"/>
    </row>
    <row r="9" spans="1:4" x14ac:dyDescent="0.25">
      <c r="A9" s="279" t="s">
        <v>5</v>
      </c>
      <c r="B9" s="279"/>
      <c r="C9" s="279"/>
      <c r="D9" s="279"/>
    </row>
    <row r="10" spans="1:4" ht="12.75" customHeight="1" x14ac:dyDescent="0.25">
      <c r="A10" s="279" t="s">
        <v>6</v>
      </c>
      <c r="B10" s="279"/>
      <c r="C10" s="279"/>
      <c r="D10" s="279"/>
    </row>
    <row r="11" spans="1:4" x14ac:dyDescent="0.25">
      <c r="B11" s="279"/>
      <c r="C11" s="279"/>
      <c r="D11" s="279"/>
    </row>
    <row r="12" spans="1:4" x14ac:dyDescent="0.25">
      <c r="A12" s="279" t="s">
        <v>7</v>
      </c>
      <c r="B12" s="279"/>
      <c r="C12" s="279"/>
      <c r="D12" s="279"/>
    </row>
    <row r="13" spans="1:4" x14ac:dyDescent="0.25">
      <c r="A13" s="279" t="s">
        <v>8</v>
      </c>
      <c r="B13" s="279"/>
      <c r="C13" s="279"/>
      <c r="D13" s="279"/>
    </row>
    <row r="14" spans="1:4" x14ac:dyDescent="0.25">
      <c r="A14" s="279" t="s">
        <v>9</v>
      </c>
      <c r="B14" s="279"/>
      <c r="C14" s="279"/>
      <c r="D14" s="279"/>
    </row>
    <row r="15" spans="1:4" x14ac:dyDescent="0.25">
      <c r="A15" s="279" t="s">
        <v>720</v>
      </c>
      <c r="B15" s="279"/>
      <c r="C15" s="279"/>
      <c r="D15" s="279"/>
    </row>
    <row r="16" spans="1:4" ht="12.75" customHeight="1" x14ac:dyDescent="0.25">
      <c r="A16" s="279"/>
      <c r="B16" s="281"/>
      <c r="C16" s="281"/>
      <c r="D16" s="281"/>
    </row>
    <row r="17" spans="1:4" ht="12.75" customHeight="1" x14ac:dyDescent="0.25">
      <c r="A17" s="281" t="s">
        <v>10</v>
      </c>
      <c r="B17" s="279"/>
      <c r="C17" s="279"/>
      <c r="D17" s="279"/>
    </row>
    <row r="18" spans="1:4" x14ac:dyDescent="0.25">
      <c r="A18" s="279" t="s">
        <v>11</v>
      </c>
      <c r="B18" s="279"/>
      <c r="C18" s="279"/>
      <c r="D18" s="279"/>
    </row>
    <row r="19" spans="1:4" x14ac:dyDescent="0.25">
      <c r="A19" s="279" t="s">
        <v>12</v>
      </c>
      <c r="B19" s="279"/>
      <c r="C19" s="279"/>
      <c r="D19" s="279"/>
    </row>
    <row r="20" spans="1:4" x14ac:dyDescent="0.25">
      <c r="A20" s="279" t="s">
        <v>13</v>
      </c>
      <c r="B20" s="279"/>
      <c r="C20" s="279"/>
      <c r="D20" s="279"/>
    </row>
    <row r="21" spans="1:4" ht="18" customHeight="1" x14ac:dyDescent="0.25">
      <c r="A21" s="279" t="s">
        <v>14</v>
      </c>
    </row>
    <row r="22" spans="1:4" x14ac:dyDescent="0.25">
      <c r="A22" s="149" t="s">
        <v>723</v>
      </c>
    </row>
  </sheetData>
  <sheetProtection algorithmName="SHA-512" hashValue="T7UkYvGaO1NtdiVqCJpx/YKppg1fwLR8sT0V6Wdvo3l6wuwiAxxU1EIw79KBZBlFCOBBhI8eaDm/vjBJr5qdKg==" saltValue="EuFRGeePEE7Z3FUpsBBnpQ==" spinCount="100000" sheet="1" autoFilter="0"/>
  <phoneticPr fontId="0" type="noConversion"/>
  <pageMargins left="0.5" right="0.5" top="0.75" bottom="0.75" header="0.5" footer="0.2"/>
  <pageSetup orientation="portrait" r:id="rId1"/>
  <headerFooter alignWithMargins="0">
    <oddFooter>&amp;L&amp;F &amp;A&amp;C&amp;P of &amp;N&amp;R&amp;D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E5381-6CDC-4CCE-8792-3CE6BE151E61}">
  <sheetPr>
    <tabColor rgb="FFFF0000"/>
  </sheetPr>
  <dimension ref="A1:R71"/>
  <sheetViews>
    <sheetView workbookViewId="0">
      <selection activeCell="C67" sqref="C67"/>
    </sheetView>
  </sheetViews>
  <sheetFormatPr defaultRowHeight="13.2" x14ac:dyDescent="0.25"/>
  <cols>
    <col min="2" max="2" width="40.33203125" customWidth="1"/>
    <col min="3" max="3" width="35.5546875" customWidth="1"/>
    <col min="4" max="4" width="21.109375" customWidth="1"/>
    <col min="5" max="6" width="24.88671875" customWidth="1"/>
    <col min="7" max="7" width="34.33203125" customWidth="1"/>
    <col min="8" max="8" width="60.33203125" customWidth="1"/>
    <col min="10" max="10" width="8.88671875" hidden="1" customWidth="1"/>
    <col min="11" max="11" width="12.33203125" hidden="1" customWidth="1"/>
    <col min="12" max="12" width="10.88671875" hidden="1" customWidth="1"/>
    <col min="13" max="13" width="8.88671875" hidden="1" customWidth="1"/>
    <col min="14" max="15" width="10.5546875" hidden="1" customWidth="1"/>
    <col min="16" max="17" width="19.6640625" hidden="1" customWidth="1"/>
    <col min="18" max="18" width="19.88671875" hidden="1" customWidth="1"/>
  </cols>
  <sheetData>
    <row r="1" spans="2:8" ht="23.4" thickBot="1" x14ac:dyDescent="0.45">
      <c r="B1" s="211" t="s">
        <v>287</v>
      </c>
    </row>
    <row r="2" spans="2:8" s="171" customFormat="1" ht="18.600000000000001" customHeight="1" thickBot="1" x14ac:dyDescent="0.3">
      <c r="B2" s="384" t="s">
        <v>716</v>
      </c>
      <c r="C2" s="385"/>
      <c r="D2" s="385"/>
      <c r="E2" s="385"/>
      <c r="F2" s="385"/>
      <c r="G2" s="385"/>
      <c r="H2" s="386"/>
    </row>
    <row r="3" spans="2:8" s="171" customFormat="1" ht="18.600000000000001" customHeight="1" x14ac:dyDescent="0.25">
      <c r="B3" s="172" t="s">
        <v>288</v>
      </c>
      <c r="F3" s="30"/>
    </row>
    <row r="4" spans="2:8" s="171" customFormat="1" ht="13.8" thickBot="1" x14ac:dyDescent="0.3">
      <c r="B4" s="172"/>
      <c r="F4" s="30"/>
    </row>
    <row r="5" spans="2:8" s="171" customFormat="1" ht="46.2" customHeight="1" thickBot="1" x14ac:dyDescent="0.3">
      <c r="B5" s="387" t="s">
        <v>689</v>
      </c>
      <c r="C5" s="388"/>
      <c r="D5" s="388"/>
      <c r="E5" s="388"/>
      <c r="F5" s="388"/>
      <c r="G5" s="388"/>
      <c r="H5" s="329"/>
    </row>
    <row r="6" spans="2:8" s="171" customFormat="1" ht="23.4" customHeight="1" thickBot="1" x14ac:dyDescent="0.3">
      <c r="B6" s="365" t="s">
        <v>719</v>
      </c>
      <c r="C6" s="366"/>
      <c r="D6" s="366"/>
      <c r="E6" s="366"/>
      <c r="F6" s="366"/>
      <c r="G6" s="366"/>
      <c r="H6" s="367"/>
    </row>
    <row r="7" spans="2:8" s="171" customFormat="1" x14ac:dyDescent="0.25">
      <c r="B7" s="243" t="s">
        <v>289</v>
      </c>
      <c r="C7" s="283"/>
      <c r="D7" s="283"/>
      <c r="E7" s="283"/>
      <c r="F7" s="284"/>
      <c r="G7" s="283"/>
      <c r="H7" s="285"/>
    </row>
    <row r="8" spans="2:8" s="171" customFormat="1" ht="18.600000000000001" customHeight="1" x14ac:dyDescent="0.25">
      <c r="B8" s="244" t="s">
        <v>290</v>
      </c>
      <c r="C8" s="283"/>
      <c r="D8" s="283"/>
      <c r="E8" s="283"/>
      <c r="F8" s="284"/>
      <c r="G8" s="283"/>
      <c r="H8" s="285"/>
    </row>
    <row r="9" spans="2:8" s="171" customFormat="1" ht="18.600000000000001" customHeight="1" x14ac:dyDescent="0.25">
      <c r="B9" s="244" t="s">
        <v>690</v>
      </c>
      <c r="C9" s="283"/>
      <c r="D9" s="283"/>
      <c r="E9" s="283"/>
      <c r="F9" s="284"/>
      <c r="G9" s="283"/>
      <c r="H9" s="285"/>
    </row>
    <row r="10" spans="2:8" s="171" customFormat="1" x14ac:dyDescent="0.25">
      <c r="B10" s="245" t="s">
        <v>291</v>
      </c>
      <c r="C10" s="283"/>
      <c r="D10" s="283"/>
      <c r="E10" s="283"/>
      <c r="F10" s="284"/>
      <c r="G10" s="283"/>
      <c r="H10" s="285"/>
    </row>
    <row r="11" spans="2:8" s="171" customFormat="1" x14ac:dyDescent="0.25">
      <c r="B11" s="244" t="s">
        <v>292</v>
      </c>
      <c r="C11" s="283"/>
      <c r="D11" s="283"/>
      <c r="E11" s="283"/>
      <c r="F11" s="284"/>
      <c r="G11" s="283"/>
      <c r="H11" s="285"/>
    </row>
    <row r="12" spans="2:8" s="171" customFormat="1" x14ac:dyDescent="0.25">
      <c r="B12" s="244" t="s">
        <v>691</v>
      </c>
      <c r="C12" s="283"/>
      <c r="D12" s="283"/>
      <c r="E12" s="283"/>
      <c r="F12" s="284"/>
      <c r="G12" s="283"/>
      <c r="H12" s="285"/>
    </row>
    <row r="13" spans="2:8" s="171" customFormat="1" ht="13.8" thickBot="1" x14ac:dyDescent="0.3">
      <c r="B13" s="246" t="s">
        <v>293</v>
      </c>
      <c r="C13" s="247"/>
      <c r="D13" s="247"/>
      <c r="E13" s="248"/>
      <c r="F13" s="248" t="s">
        <v>294</v>
      </c>
      <c r="G13" s="247"/>
      <c r="H13" s="286"/>
    </row>
    <row r="14" spans="2:8" s="171" customFormat="1" ht="12.75" customHeight="1" x14ac:dyDescent="0.25">
      <c r="C14" s="1"/>
    </row>
    <row r="15" spans="2:8" s="171" customFormat="1" ht="12.75" customHeight="1" x14ac:dyDescent="0.25">
      <c r="C15" s="45"/>
      <c r="D15" s="228" t="s">
        <v>295</v>
      </c>
      <c r="E15" s="228" t="s">
        <v>296</v>
      </c>
      <c r="F15" s="228" t="s">
        <v>297</v>
      </c>
      <c r="G15" s="229" t="s">
        <v>298</v>
      </c>
    </row>
    <row r="16" spans="2:8" s="171" customFormat="1" ht="12.75" customHeight="1" x14ac:dyDescent="0.25">
      <c r="B16" s="226" t="s">
        <v>299</v>
      </c>
      <c r="C16" s="226"/>
      <c r="D16" s="226">
        <v>1</v>
      </c>
      <c r="E16" s="226">
        <v>2</v>
      </c>
      <c r="F16" s="226">
        <v>3</v>
      </c>
      <c r="G16" s="227">
        <v>5</v>
      </c>
      <c r="H16" s="252">
        <v>6</v>
      </c>
    </row>
    <row r="17" spans="1:18" s="215" customFormat="1" ht="26.4" x14ac:dyDescent="0.25">
      <c r="A17" s="212" t="s">
        <v>300</v>
      </c>
      <c r="B17" s="213" t="s">
        <v>301</v>
      </c>
      <c r="C17" s="230">
        <v>-1000</v>
      </c>
      <c r="D17" s="214" t="s">
        <v>302</v>
      </c>
      <c r="E17" s="231" t="s">
        <v>122</v>
      </c>
      <c r="F17" s="232" t="s">
        <v>705</v>
      </c>
      <c r="G17" s="232" t="s">
        <v>303</v>
      </c>
      <c r="H17" s="253" t="s">
        <v>304</v>
      </c>
    </row>
    <row r="18" spans="1:18" ht="13.2" customHeight="1" x14ac:dyDescent="0.25">
      <c r="B18" s="362" t="s">
        <v>305</v>
      </c>
      <c r="C18" s="363"/>
      <c r="D18" s="363"/>
      <c r="E18" s="363"/>
      <c r="F18" s="363"/>
      <c r="G18" s="364"/>
      <c r="H18" s="216"/>
      <c r="J18" s="254"/>
      <c r="K18" s="258" t="s">
        <v>693</v>
      </c>
      <c r="L18" s="258" t="s">
        <v>43</v>
      </c>
      <c r="M18" s="258"/>
      <c r="N18" s="294" t="s">
        <v>694</v>
      </c>
      <c r="O18" s="294" t="s">
        <v>695</v>
      </c>
      <c r="P18" s="295" t="s">
        <v>696</v>
      </c>
      <c r="Q18" s="295" t="s">
        <v>706</v>
      </c>
      <c r="R18" s="296" t="s">
        <v>707</v>
      </c>
    </row>
    <row r="19" spans="1:18" ht="13.2" customHeight="1" x14ac:dyDescent="0.25">
      <c r="A19" s="361" t="s">
        <v>306</v>
      </c>
      <c r="B19" s="340" t="s">
        <v>307</v>
      </c>
      <c r="C19" s="234" t="s">
        <v>307</v>
      </c>
      <c r="D19" s="335"/>
      <c r="E19" s="334"/>
      <c r="F19" s="330">
        <f>D19+E19</f>
        <v>0</v>
      </c>
      <c r="G19" s="234" t="s">
        <v>308</v>
      </c>
      <c r="H19" s="341"/>
      <c r="J19" s="254">
        <f>COUNTIF(K19:L19,FALSE)</f>
        <v>0</v>
      </c>
      <c r="K19" s="254" t="b">
        <f t="shared" ref="K19:L22" si="0">ISBLANK(D19)</f>
        <v>1</v>
      </c>
      <c r="L19" s="254" t="b">
        <f t="shared" si="0"/>
        <v>1</v>
      </c>
      <c r="M19" s="254"/>
      <c r="N19" s="297" t="b">
        <f>IF(E19&lt;&gt;0,IF(B19="Select an account",NOT(ISBLANK(B19)),ISBLANK(B19)))</f>
        <v>0</v>
      </c>
      <c r="O19" s="298" t="b">
        <f>IF(E19=0,IF(B19="Select an account",NOT(ISBLANK(B19)),ISBLANK(B19)))</f>
        <v>0</v>
      </c>
      <c r="P19" s="299" t="b">
        <f>IF(E19&lt;&gt;0,IF(G19="Select Reason",NOT(ISBLANK(G19)),ISBLANK(G19)))</f>
        <v>0</v>
      </c>
      <c r="Q19" s="299" t="b">
        <f>IF(E19=0,IF(G19="Select Reason",ISBLANK(G19),NOT(ISBLANK(G19))))</f>
        <v>0</v>
      </c>
      <c r="R19" s="300" t="b">
        <f>IF(E19=0,ISBLANK(H19),NOT(ISBLANK(H19)))</f>
        <v>1</v>
      </c>
    </row>
    <row r="20" spans="1:18" x14ac:dyDescent="0.25">
      <c r="A20" s="361"/>
      <c r="B20" s="340" t="s">
        <v>309</v>
      </c>
      <c r="C20" s="234" t="s">
        <v>309</v>
      </c>
      <c r="D20" s="335"/>
      <c r="E20" s="334"/>
      <c r="F20" s="330">
        <f t="shared" ref="F20:F22" si="1">D20+E20</f>
        <v>0</v>
      </c>
      <c r="G20" s="234" t="s">
        <v>308</v>
      </c>
      <c r="H20" s="341"/>
      <c r="J20" s="254">
        <f t="shared" ref="J20:J22" si="2">COUNTIF(K20:L20,FALSE)</f>
        <v>0</v>
      </c>
      <c r="K20" s="254" t="b">
        <f t="shared" si="0"/>
        <v>1</v>
      </c>
      <c r="L20" s="254" t="b">
        <f t="shared" si="0"/>
        <v>1</v>
      </c>
      <c r="M20" s="254"/>
      <c r="N20" s="297" t="b">
        <f>IF(E20&lt;&gt;0,IF(B20="Select an account",NOT(ISBLANK(B20)),ISBLANK(B20)))</f>
        <v>0</v>
      </c>
      <c r="O20" s="298" t="b">
        <f>IF(E20=0,IF(B20="Select an account",NOT(ISBLANK(B20)),ISBLANK(B20)))</f>
        <v>0</v>
      </c>
      <c r="P20" s="299" t="b">
        <f>IF(E20&lt;&gt;0,IF(G20="Select Reason",NOT(ISBLANK(G20)),ISBLANK(G20)))</f>
        <v>0</v>
      </c>
      <c r="Q20" s="299" t="b">
        <f>IF(E20=0,IF(G20="Select Reason",ISBLANK(G20),NOT(ISBLANK(G20))))</f>
        <v>0</v>
      </c>
      <c r="R20" s="300" t="b">
        <f>IF(E20=0,ISBLANK(H20),NOT(ISBLANK(H20)))</f>
        <v>1</v>
      </c>
    </row>
    <row r="21" spans="1:18" x14ac:dyDescent="0.25">
      <c r="A21" s="361"/>
      <c r="B21" s="340" t="s">
        <v>310</v>
      </c>
      <c r="C21" s="234" t="s">
        <v>310</v>
      </c>
      <c r="D21" s="335"/>
      <c r="E21" s="334"/>
      <c r="F21" s="330">
        <f t="shared" si="1"/>
        <v>0</v>
      </c>
      <c r="G21" s="234" t="s">
        <v>308</v>
      </c>
      <c r="H21" s="341"/>
      <c r="J21" s="254">
        <f t="shared" si="2"/>
        <v>0</v>
      </c>
      <c r="K21" s="254" t="b">
        <f t="shared" si="0"/>
        <v>1</v>
      </c>
      <c r="L21" s="254" t="b">
        <f t="shared" si="0"/>
        <v>1</v>
      </c>
      <c r="M21" s="254"/>
      <c r="N21" s="297" t="b">
        <f>IF(E21&lt;&gt;0,IF(B21="Select an account",NOT(ISBLANK(B21)),ISBLANK(B21)))</f>
        <v>0</v>
      </c>
      <c r="O21" s="298" t="b">
        <f>IF(E21=0,IF(B21="R_Restricted - expendable",ISBLANK(B21),NOT(ISBLANK(B21))))</f>
        <v>0</v>
      </c>
      <c r="P21" s="299" t="b">
        <f>IF(E21&lt;&gt;0,IF(G21="Select Reason",NOT(ISBLANK(G21)),ISBLANK(G21)))</f>
        <v>0</v>
      </c>
      <c r="Q21" s="299" t="b">
        <f>IF(E21=0,IF(G21="Select Reason",ISBLANK(G21),NOT(ISBLANK(G21))))</f>
        <v>0</v>
      </c>
      <c r="R21" s="300" t="b">
        <f>IF(E21=0,ISBLANK(H21),NOT(ISBLANK(H21)))</f>
        <v>1</v>
      </c>
    </row>
    <row r="22" spans="1:18" ht="18" customHeight="1" thickBot="1" x14ac:dyDescent="0.3">
      <c r="A22" s="361"/>
      <c r="B22" s="340" t="s">
        <v>311</v>
      </c>
      <c r="C22" s="234" t="s">
        <v>311</v>
      </c>
      <c r="D22" s="335">
        <v>100</v>
      </c>
      <c r="E22" s="334">
        <v>-1000</v>
      </c>
      <c r="F22" s="330">
        <f t="shared" si="1"/>
        <v>-900</v>
      </c>
      <c r="G22" s="234" t="s">
        <v>702</v>
      </c>
      <c r="H22" s="342" t="s">
        <v>717</v>
      </c>
      <c r="J22" s="254">
        <f t="shared" si="2"/>
        <v>2</v>
      </c>
      <c r="K22" s="254" t="b">
        <f t="shared" si="0"/>
        <v>0</v>
      </c>
      <c r="L22" s="254" t="b">
        <f t="shared" si="0"/>
        <v>0</v>
      </c>
      <c r="M22" s="254"/>
      <c r="N22" s="297" t="b">
        <f>IF(E22&lt;&gt;0,IF(B22="Select an account",NOT(ISBLANK(B22)),ISBLANK(B22)))</f>
        <v>0</v>
      </c>
      <c r="O22" s="298" t="b">
        <f>IF(E22=0,IF(B22="R_Unrestricted",ISBLANK(B22),NOT(ISBLANK(B22))))</f>
        <v>0</v>
      </c>
      <c r="P22" s="299" t="b">
        <f>IF(E22&lt;&gt;0,IF(G22="Select Reason",NOT(ISBLANK(G22)),ISBLANK(G22)))</f>
        <v>0</v>
      </c>
      <c r="Q22" s="299" t="b">
        <f>IF(E22=0,IF(G22="Select Reason",ISBLANK(G22),NOT(ISBLANK(G22))))</f>
        <v>0</v>
      </c>
      <c r="R22" s="300" t="b">
        <f>IF(E22=0,ISBLANK(H22),NOT(ISBLANK(H22)))</f>
        <v>1</v>
      </c>
    </row>
    <row r="23" spans="1:18" ht="21" customHeight="1" thickBot="1" x14ac:dyDescent="0.3">
      <c r="A23" s="251" t="s">
        <v>312</v>
      </c>
      <c r="B23" s="249"/>
      <c r="C23" s="249"/>
      <c r="D23" s="250" t="str">
        <f>IF(C17=0,"OK",IF(C17&lt;&gt;0,IF((SUM(D19:D22)=0),"Enter beginning balance","OK")))</f>
        <v>OK</v>
      </c>
      <c r="E23" s="250" t="str">
        <f>IF(C17=0,"OK",IF(C17&lt;&gt;0,IF((SUM(E19:E22)=C17),"OK","Check restatement amount")))</f>
        <v>OK</v>
      </c>
      <c r="F23" s="249"/>
      <c r="G23" s="249"/>
      <c r="H23" s="249"/>
      <c r="J23" s="254"/>
      <c r="K23" s="254"/>
      <c r="L23" s="254"/>
      <c r="M23" s="254"/>
      <c r="N23" s="297"/>
      <c r="O23" s="298"/>
      <c r="P23" s="299"/>
      <c r="Q23" s="299"/>
      <c r="R23" s="300"/>
    </row>
    <row r="24" spans="1:18" x14ac:dyDescent="0.25">
      <c r="A24" s="218"/>
      <c r="B24" s="233" t="s">
        <v>313</v>
      </c>
      <c r="C24" s="220"/>
      <c r="D24" s="221"/>
      <c r="E24" s="221"/>
      <c r="F24" s="221"/>
      <c r="G24" s="220"/>
      <c r="H24" s="371"/>
      <c r="J24" s="254"/>
      <c r="K24" s="254"/>
      <c r="L24" s="254"/>
      <c r="M24" s="254"/>
      <c r="N24" s="297"/>
      <c r="O24" s="297"/>
      <c r="P24" s="299"/>
      <c r="Q24" s="299"/>
      <c r="R24" s="300"/>
    </row>
    <row r="25" spans="1:18" x14ac:dyDescent="0.25">
      <c r="A25" s="218"/>
      <c r="B25" s="219" t="s">
        <v>47</v>
      </c>
      <c r="C25" s="372" t="s">
        <v>314</v>
      </c>
      <c r="D25" s="373"/>
      <c r="E25" s="373"/>
      <c r="F25" s="373"/>
      <c r="G25" s="374"/>
      <c r="H25" s="371"/>
      <c r="J25" s="254"/>
      <c r="K25" s="254"/>
      <c r="L25" s="254"/>
      <c r="M25" s="254"/>
      <c r="N25" s="297"/>
      <c r="O25" s="297"/>
      <c r="P25" s="299"/>
      <c r="Q25" s="299"/>
      <c r="R25" s="300"/>
    </row>
    <row r="26" spans="1:18" x14ac:dyDescent="0.25">
      <c r="A26" s="361" t="s">
        <v>315</v>
      </c>
      <c r="B26" s="343" t="s">
        <v>316</v>
      </c>
      <c r="C26" s="234" t="str">
        <f>VLOOKUP(B26,Notes!$E$3:$F$26,2,FALSE)</f>
        <v>OSC Use only</v>
      </c>
      <c r="D26" s="337"/>
      <c r="E26" s="336"/>
      <c r="F26" s="330">
        <f t="shared" ref="F26:F61" si="3">D26+E26</f>
        <v>0</v>
      </c>
      <c r="G26" s="234" t="s">
        <v>308</v>
      </c>
      <c r="H26" s="341"/>
      <c r="J26" s="254">
        <f t="shared" ref="J26:J27" si="4">COUNTIF(K26:L26,FALSE)</f>
        <v>0</v>
      </c>
      <c r="K26" s="301" t="b">
        <f t="shared" ref="K26:L33" si="5">ISBLANK(D26)</f>
        <v>1</v>
      </c>
      <c r="L26" s="301" t="b">
        <f t="shared" si="5"/>
        <v>1</v>
      </c>
      <c r="M26" s="301"/>
      <c r="N26" s="297" t="b">
        <f t="shared" ref="N26:N33" si="6">IF(E26&lt;&gt;0,IF(B26="Select an account",NOT(ISBLANK(B26)),ISBLANK(B26)))</f>
        <v>0</v>
      </c>
      <c r="O26" s="298" t="b">
        <f t="shared" ref="O26:O33" si="7">IF(E26=0,IF(B26="Select an account",ISBLANK(B26),NOT(ISBLANK(B26))))</f>
        <v>0</v>
      </c>
      <c r="P26" s="302" t="b">
        <f t="shared" ref="P26:P33" si="8">IF(E26&lt;&gt;0,IF(G26="Select Reason",NOT(ISBLANK(G26)),ISBLANK(G26)))</f>
        <v>0</v>
      </c>
      <c r="Q26" s="302" t="b">
        <f t="shared" ref="Q26:Q33" si="9">IF(E26=0,IF(G26="Select Reason",ISBLANK(G26),NOT(ISBLANK(G26))))</f>
        <v>0</v>
      </c>
      <c r="R26" s="300" t="b">
        <f t="shared" ref="R26:R33" si="10">IF(E26=0,ISBLANK(H26),NOT(ISBLANK(H26)))</f>
        <v>1</v>
      </c>
    </row>
    <row r="27" spans="1:18" x14ac:dyDescent="0.25">
      <c r="A27" s="361"/>
      <c r="B27" s="343" t="s">
        <v>316</v>
      </c>
      <c r="C27" s="234" t="str">
        <f>VLOOKUP(B27,Notes!$E$3:$F$26,2,FALSE)</f>
        <v>OSC Use only</v>
      </c>
      <c r="D27" s="337"/>
      <c r="E27" s="336"/>
      <c r="F27" s="330">
        <f t="shared" si="3"/>
        <v>0</v>
      </c>
      <c r="G27" s="234" t="s">
        <v>308</v>
      </c>
      <c r="H27" s="341"/>
      <c r="J27" s="254">
        <f t="shared" si="4"/>
        <v>0</v>
      </c>
      <c r="K27" s="301" t="b">
        <f t="shared" si="5"/>
        <v>1</v>
      </c>
      <c r="L27" s="301" t="b">
        <f t="shared" si="5"/>
        <v>1</v>
      </c>
      <c r="M27" s="301"/>
      <c r="N27" s="297" t="b">
        <f t="shared" si="6"/>
        <v>0</v>
      </c>
      <c r="O27" s="298" t="b">
        <f t="shared" si="7"/>
        <v>0</v>
      </c>
      <c r="P27" s="302" t="b">
        <f t="shared" si="8"/>
        <v>0</v>
      </c>
      <c r="Q27" s="302" t="b">
        <f t="shared" si="9"/>
        <v>0</v>
      </c>
      <c r="R27" s="300" t="b">
        <f t="shared" si="10"/>
        <v>1</v>
      </c>
    </row>
    <row r="28" spans="1:18" x14ac:dyDescent="0.25">
      <c r="A28" s="361"/>
      <c r="B28" s="343" t="s">
        <v>316</v>
      </c>
      <c r="C28" s="234" t="str">
        <f>VLOOKUP(B28,Notes!$E$3:$F$26,2,FALSE)</f>
        <v>OSC Use only</v>
      </c>
      <c r="D28" s="337"/>
      <c r="E28" s="336"/>
      <c r="F28" s="330">
        <f t="shared" si="3"/>
        <v>0</v>
      </c>
      <c r="G28" s="234" t="s">
        <v>308</v>
      </c>
      <c r="H28" s="341"/>
      <c r="J28" s="254">
        <f>COUNTIF(K28:L28,FALSE)</f>
        <v>0</v>
      </c>
      <c r="K28" s="301" t="b">
        <f t="shared" si="5"/>
        <v>1</v>
      </c>
      <c r="L28" s="301" t="b">
        <f t="shared" si="5"/>
        <v>1</v>
      </c>
      <c r="M28" s="301"/>
      <c r="N28" s="297" t="b">
        <f t="shared" si="6"/>
        <v>0</v>
      </c>
      <c r="O28" s="298" t="b">
        <f t="shared" si="7"/>
        <v>0</v>
      </c>
      <c r="P28" s="302" t="b">
        <f t="shared" si="8"/>
        <v>0</v>
      </c>
      <c r="Q28" s="302" t="b">
        <f t="shared" si="9"/>
        <v>0</v>
      </c>
      <c r="R28" s="300" t="b">
        <f t="shared" si="10"/>
        <v>1</v>
      </c>
    </row>
    <row r="29" spans="1:18" x14ac:dyDescent="0.25">
      <c r="A29" s="361"/>
      <c r="B29" s="343" t="s">
        <v>316</v>
      </c>
      <c r="C29" s="234" t="str">
        <f>VLOOKUP(B29,Notes!$E$3:$F$26,2,FALSE)</f>
        <v>OSC Use only</v>
      </c>
      <c r="D29" s="337"/>
      <c r="E29" s="336"/>
      <c r="F29" s="330">
        <f t="shared" si="3"/>
        <v>0</v>
      </c>
      <c r="G29" s="234" t="s">
        <v>308</v>
      </c>
      <c r="H29" s="341"/>
      <c r="J29" s="254">
        <f t="shared" ref="J29:J33" si="11">COUNTIF(K29:L29,FALSE)</f>
        <v>0</v>
      </c>
      <c r="K29" s="301" t="b">
        <f t="shared" si="5"/>
        <v>1</v>
      </c>
      <c r="L29" s="301" t="b">
        <f t="shared" si="5"/>
        <v>1</v>
      </c>
      <c r="M29" s="301"/>
      <c r="N29" s="297" t="b">
        <f t="shared" si="6"/>
        <v>0</v>
      </c>
      <c r="O29" s="298" t="b">
        <f t="shared" si="7"/>
        <v>0</v>
      </c>
      <c r="P29" s="302" t="b">
        <f t="shared" si="8"/>
        <v>0</v>
      </c>
      <c r="Q29" s="302" t="b">
        <f t="shared" si="9"/>
        <v>0</v>
      </c>
      <c r="R29" s="300" t="b">
        <f t="shared" si="10"/>
        <v>1</v>
      </c>
    </row>
    <row r="30" spans="1:18" x14ac:dyDescent="0.25">
      <c r="A30" s="361"/>
      <c r="B30" s="343" t="s">
        <v>316</v>
      </c>
      <c r="C30" s="234" t="str">
        <f>VLOOKUP(B30,Notes!$E$3:$F$26,2,FALSE)</f>
        <v>OSC Use only</v>
      </c>
      <c r="D30" s="337"/>
      <c r="E30" s="336"/>
      <c r="F30" s="330">
        <f t="shared" si="3"/>
        <v>0</v>
      </c>
      <c r="G30" s="234" t="s">
        <v>308</v>
      </c>
      <c r="H30" s="341"/>
      <c r="J30" s="254">
        <f t="shared" si="11"/>
        <v>0</v>
      </c>
      <c r="K30" s="301" t="b">
        <f t="shared" si="5"/>
        <v>1</v>
      </c>
      <c r="L30" s="301" t="b">
        <f t="shared" si="5"/>
        <v>1</v>
      </c>
      <c r="M30" s="301"/>
      <c r="N30" s="297" t="b">
        <f t="shared" si="6"/>
        <v>0</v>
      </c>
      <c r="O30" s="298" t="b">
        <f t="shared" si="7"/>
        <v>0</v>
      </c>
      <c r="P30" s="302" t="b">
        <f t="shared" si="8"/>
        <v>0</v>
      </c>
      <c r="Q30" s="302" t="b">
        <f t="shared" si="9"/>
        <v>0</v>
      </c>
      <c r="R30" s="300" t="b">
        <f t="shared" si="10"/>
        <v>1</v>
      </c>
    </row>
    <row r="31" spans="1:18" x14ac:dyDescent="0.25">
      <c r="A31" s="361"/>
      <c r="B31" s="343" t="s">
        <v>316</v>
      </c>
      <c r="C31" s="234" t="str">
        <f>VLOOKUP(B31,Notes!$E$3:$F$26,2,FALSE)</f>
        <v>OSC Use only</v>
      </c>
      <c r="D31" s="337"/>
      <c r="E31" s="336"/>
      <c r="F31" s="330">
        <f t="shared" si="3"/>
        <v>0</v>
      </c>
      <c r="G31" s="234" t="s">
        <v>308</v>
      </c>
      <c r="H31" s="341"/>
      <c r="J31" s="254">
        <f t="shared" si="11"/>
        <v>0</v>
      </c>
      <c r="K31" s="301" t="b">
        <f t="shared" si="5"/>
        <v>1</v>
      </c>
      <c r="L31" s="301" t="b">
        <f t="shared" si="5"/>
        <v>1</v>
      </c>
      <c r="M31" s="301"/>
      <c r="N31" s="297" t="b">
        <f t="shared" si="6"/>
        <v>0</v>
      </c>
      <c r="O31" s="298" t="b">
        <f t="shared" si="7"/>
        <v>0</v>
      </c>
      <c r="P31" s="302" t="b">
        <f t="shared" si="8"/>
        <v>0</v>
      </c>
      <c r="Q31" s="302" t="b">
        <f t="shared" si="9"/>
        <v>0</v>
      </c>
      <c r="R31" s="300" t="b">
        <f t="shared" si="10"/>
        <v>1</v>
      </c>
    </row>
    <row r="32" spans="1:18" x14ac:dyDescent="0.25">
      <c r="A32" s="361"/>
      <c r="B32" s="343" t="s">
        <v>316</v>
      </c>
      <c r="C32" s="234" t="str">
        <f>VLOOKUP(B32,Notes!$E$3:$F$26,2,FALSE)</f>
        <v>OSC Use only</v>
      </c>
      <c r="D32" s="337"/>
      <c r="E32" s="336"/>
      <c r="F32" s="330">
        <f t="shared" si="3"/>
        <v>0</v>
      </c>
      <c r="G32" s="234" t="s">
        <v>308</v>
      </c>
      <c r="H32" s="341"/>
      <c r="J32" s="254">
        <f t="shared" si="11"/>
        <v>0</v>
      </c>
      <c r="K32" s="301" t="b">
        <f t="shared" si="5"/>
        <v>1</v>
      </c>
      <c r="L32" s="301" t="b">
        <f t="shared" si="5"/>
        <v>1</v>
      </c>
      <c r="M32" s="301"/>
      <c r="N32" s="297" t="b">
        <f t="shared" si="6"/>
        <v>0</v>
      </c>
      <c r="O32" s="298" t="b">
        <f t="shared" si="7"/>
        <v>0</v>
      </c>
      <c r="P32" s="302" t="b">
        <f t="shared" si="8"/>
        <v>0</v>
      </c>
      <c r="Q32" s="302" t="b">
        <f t="shared" si="9"/>
        <v>0</v>
      </c>
      <c r="R32" s="300" t="b">
        <f t="shared" si="10"/>
        <v>1</v>
      </c>
    </row>
    <row r="33" spans="1:18" x14ac:dyDescent="0.25">
      <c r="A33" s="361"/>
      <c r="B33" s="343" t="s">
        <v>316</v>
      </c>
      <c r="C33" s="234" t="str">
        <f>VLOOKUP(B33,Notes!$E$3:$F$26,2,FALSE)</f>
        <v>OSC Use only</v>
      </c>
      <c r="D33" s="337"/>
      <c r="E33" s="336"/>
      <c r="F33" s="330">
        <f t="shared" si="3"/>
        <v>0</v>
      </c>
      <c r="G33" s="234" t="s">
        <v>308</v>
      </c>
      <c r="H33" s="341"/>
      <c r="J33" s="254">
        <f t="shared" si="11"/>
        <v>0</v>
      </c>
      <c r="K33" s="301" t="b">
        <f t="shared" si="5"/>
        <v>1</v>
      </c>
      <c r="L33" s="301" t="b">
        <f t="shared" si="5"/>
        <v>1</v>
      </c>
      <c r="M33" s="301"/>
      <c r="N33" s="297" t="b">
        <f t="shared" si="6"/>
        <v>0</v>
      </c>
      <c r="O33" s="298" t="b">
        <f t="shared" si="7"/>
        <v>0</v>
      </c>
      <c r="P33" s="302" t="b">
        <f t="shared" si="8"/>
        <v>0</v>
      </c>
      <c r="Q33" s="302" t="b">
        <f t="shared" si="9"/>
        <v>0</v>
      </c>
      <c r="R33" s="300" t="b">
        <f t="shared" si="10"/>
        <v>1</v>
      </c>
    </row>
    <row r="34" spans="1:18" x14ac:dyDescent="0.25">
      <c r="B34" s="219" t="s">
        <v>317</v>
      </c>
      <c r="C34" s="372" t="s">
        <v>318</v>
      </c>
      <c r="D34" s="373"/>
      <c r="E34" s="373"/>
      <c r="F34" s="373"/>
      <c r="G34" s="374"/>
      <c r="H34" s="216"/>
      <c r="J34" s="254"/>
      <c r="K34" s="254"/>
      <c r="L34" s="254"/>
      <c r="M34" s="254"/>
      <c r="N34" s="297"/>
      <c r="O34" s="297"/>
      <c r="P34" s="299"/>
      <c r="Q34" s="299"/>
      <c r="R34" s="300"/>
    </row>
    <row r="35" spans="1:18" s="254" customFormat="1" x14ac:dyDescent="0.25">
      <c r="A35" s="361" t="s">
        <v>319</v>
      </c>
      <c r="B35" s="344" t="s">
        <v>709</v>
      </c>
      <c r="C35" s="264" t="str">
        <f>VLOOKUP(B35,Notes!$E$27:$F$49,2,FALSE)</f>
        <v>R_Compensated absences_noncurrent</v>
      </c>
      <c r="D35" s="337">
        <v>0</v>
      </c>
      <c r="E35" s="336">
        <v>1000</v>
      </c>
      <c r="F35" s="331">
        <f t="shared" si="3"/>
        <v>1000</v>
      </c>
      <c r="G35" s="332" t="s">
        <v>702</v>
      </c>
      <c r="H35" s="342" t="s">
        <v>718</v>
      </c>
      <c r="J35" s="254">
        <f t="shared" ref="J35:J42" si="12">COUNTIF(K35:L35,FALSE)</f>
        <v>2</v>
      </c>
      <c r="K35" s="301" t="b">
        <f t="shared" ref="K35:L42" si="13">ISBLANK(D35)</f>
        <v>0</v>
      </c>
      <c r="L35" s="301" t="b">
        <f t="shared" si="13"/>
        <v>0</v>
      </c>
      <c r="M35" s="301"/>
      <c r="N35" s="297" t="b">
        <f t="shared" ref="N35:N42" si="14">IF(E35&lt;&gt;0,IF(B35="Select an account",NOT(ISBLANK(B35)),ISBLANK(B35)))</f>
        <v>0</v>
      </c>
      <c r="O35" s="298" t="b">
        <f t="shared" ref="O35:O42" si="15">IF(E35=0,IF(B35="Select an account",ISBLANK(B35),NOT(ISBLANK(B35))))</f>
        <v>0</v>
      </c>
      <c r="P35" s="302" t="b">
        <f t="shared" ref="P35:P42" si="16">IF(E35&lt;&gt;0,IF(G35="Select Reason",NOT(ISBLANK(G35)),ISBLANK(G35)))</f>
        <v>0</v>
      </c>
      <c r="Q35" s="299" t="b">
        <f t="shared" ref="Q35:Q42" si="17">IF(E35=0,IF(G35="Select Reason",ISBLANK(G35),NOT(ISBLANK(G35))))</f>
        <v>0</v>
      </c>
      <c r="R35" s="300" t="b">
        <f t="shared" ref="R35:R42" si="18">IF(E35=0,ISBLANK(H35),NOT(ISBLANK(H35)))</f>
        <v>1</v>
      </c>
    </row>
    <row r="36" spans="1:18" x14ac:dyDescent="0.25">
      <c r="A36" s="361"/>
      <c r="B36" s="343" t="s">
        <v>316</v>
      </c>
      <c r="C36" s="234" t="str">
        <f>VLOOKUP(B36,Notes!$E$27:$F$49,2,FALSE)</f>
        <v>OSC Use only</v>
      </c>
      <c r="D36" s="337"/>
      <c r="E36" s="336"/>
      <c r="F36" s="330">
        <f t="shared" si="3"/>
        <v>0</v>
      </c>
      <c r="G36" s="234" t="s">
        <v>308</v>
      </c>
      <c r="H36" s="341"/>
      <c r="J36" s="254">
        <f t="shared" si="12"/>
        <v>0</v>
      </c>
      <c r="K36" s="301" t="b">
        <f t="shared" si="13"/>
        <v>1</v>
      </c>
      <c r="L36" s="301" t="b">
        <f t="shared" si="13"/>
        <v>1</v>
      </c>
      <c r="M36" s="301"/>
      <c r="N36" s="297" t="b">
        <f t="shared" si="14"/>
        <v>0</v>
      </c>
      <c r="O36" s="298" t="b">
        <f t="shared" si="15"/>
        <v>0</v>
      </c>
      <c r="P36" s="302" t="b">
        <f t="shared" si="16"/>
        <v>0</v>
      </c>
      <c r="Q36" s="299" t="b">
        <f t="shared" si="17"/>
        <v>0</v>
      </c>
      <c r="R36" s="300" t="b">
        <f t="shared" si="18"/>
        <v>1</v>
      </c>
    </row>
    <row r="37" spans="1:18" x14ac:dyDescent="0.25">
      <c r="A37" s="361"/>
      <c r="B37" s="343" t="s">
        <v>316</v>
      </c>
      <c r="C37" s="234" t="str">
        <f>VLOOKUP(B37,Notes!$E$27:$F$49,2,FALSE)</f>
        <v>OSC Use only</v>
      </c>
      <c r="D37" s="337"/>
      <c r="E37" s="345"/>
      <c r="F37" s="330">
        <f t="shared" si="3"/>
        <v>0</v>
      </c>
      <c r="G37" s="234" t="s">
        <v>308</v>
      </c>
      <c r="H37" s="341"/>
      <c r="J37" s="254">
        <f t="shared" si="12"/>
        <v>0</v>
      </c>
      <c r="K37" s="301" t="b">
        <f t="shared" si="13"/>
        <v>1</v>
      </c>
      <c r="L37" s="301" t="b">
        <f t="shared" si="13"/>
        <v>1</v>
      </c>
      <c r="M37" s="301"/>
      <c r="N37" s="297" t="b">
        <f t="shared" si="14"/>
        <v>0</v>
      </c>
      <c r="O37" s="298" t="b">
        <f t="shared" si="15"/>
        <v>0</v>
      </c>
      <c r="P37" s="302" t="b">
        <f t="shared" si="16"/>
        <v>0</v>
      </c>
      <c r="Q37" s="299" t="b">
        <f t="shared" si="17"/>
        <v>0</v>
      </c>
      <c r="R37" s="300" t="b">
        <f t="shared" si="18"/>
        <v>1</v>
      </c>
    </row>
    <row r="38" spans="1:18" x14ac:dyDescent="0.25">
      <c r="A38" s="361"/>
      <c r="B38" s="343" t="s">
        <v>316</v>
      </c>
      <c r="C38" s="234" t="str">
        <f>VLOOKUP(B38,Notes!$E$27:$F$49,2,FALSE)</f>
        <v>OSC Use only</v>
      </c>
      <c r="D38" s="337"/>
      <c r="E38" s="336"/>
      <c r="F38" s="330">
        <f t="shared" si="3"/>
        <v>0</v>
      </c>
      <c r="G38" s="234" t="s">
        <v>308</v>
      </c>
      <c r="H38" s="346"/>
      <c r="J38" s="254">
        <f t="shared" si="12"/>
        <v>0</v>
      </c>
      <c r="K38" s="301" t="b">
        <f t="shared" si="13"/>
        <v>1</v>
      </c>
      <c r="L38" s="301" t="b">
        <f t="shared" si="13"/>
        <v>1</v>
      </c>
      <c r="M38" s="301"/>
      <c r="N38" s="297" t="b">
        <f t="shared" si="14"/>
        <v>0</v>
      </c>
      <c r="O38" s="298" t="b">
        <f t="shared" si="15"/>
        <v>0</v>
      </c>
      <c r="P38" s="302" t="b">
        <f t="shared" si="16"/>
        <v>0</v>
      </c>
      <c r="Q38" s="299" t="b">
        <f t="shared" si="17"/>
        <v>0</v>
      </c>
      <c r="R38" s="300" t="b">
        <f t="shared" si="18"/>
        <v>1</v>
      </c>
    </row>
    <row r="39" spans="1:18" x14ac:dyDescent="0.25">
      <c r="A39" s="361"/>
      <c r="B39" s="343" t="s">
        <v>316</v>
      </c>
      <c r="C39" s="234" t="str">
        <f>VLOOKUP(B39,Notes!$E$27:$F$49,2,FALSE)</f>
        <v>OSC Use only</v>
      </c>
      <c r="D39" s="337"/>
      <c r="E39" s="336"/>
      <c r="F39" s="330">
        <f t="shared" si="3"/>
        <v>0</v>
      </c>
      <c r="G39" s="234" t="s">
        <v>308</v>
      </c>
      <c r="H39" s="346"/>
      <c r="J39" s="254">
        <f t="shared" si="12"/>
        <v>0</v>
      </c>
      <c r="K39" s="301" t="b">
        <f t="shared" si="13"/>
        <v>1</v>
      </c>
      <c r="L39" s="301" t="b">
        <f t="shared" si="13"/>
        <v>1</v>
      </c>
      <c r="M39" s="301"/>
      <c r="N39" s="297" t="b">
        <f t="shared" si="14"/>
        <v>0</v>
      </c>
      <c r="O39" s="298" t="b">
        <f t="shared" si="15"/>
        <v>0</v>
      </c>
      <c r="P39" s="302" t="b">
        <f t="shared" si="16"/>
        <v>0</v>
      </c>
      <c r="Q39" s="299" t="b">
        <f t="shared" si="17"/>
        <v>0</v>
      </c>
      <c r="R39" s="300" t="b">
        <f t="shared" si="18"/>
        <v>1</v>
      </c>
    </row>
    <row r="40" spans="1:18" x14ac:dyDescent="0.25">
      <c r="A40" s="361"/>
      <c r="B40" s="343" t="s">
        <v>316</v>
      </c>
      <c r="C40" s="234" t="str">
        <f>VLOOKUP(B40,Notes!$E$27:$F$49,2,FALSE)</f>
        <v>OSC Use only</v>
      </c>
      <c r="D40" s="337"/>
      <c r="E40" s="345"/>
      <c r="F40" s="330">
        <f t="shared" si="3"/>
        <v>0</v>
      </c>
      <c r="G40" s="234" t="s">
        <v>308</v>
      </c>
      <c r="H40" s="346"/>
      <c r="J40" s="254">
        <f t="shared" si="12"/>
        <v>0</v>
      </c>
      <c r="K40" s="301" t="b">
        <f t="shared" si="13"/>
        <v>1</v>
      </c>
      <c r="L40" s="301" t="b">
        <f t="shared" si="13"/>
        <v>1</v>
      </c>
      <c r="M40" s="301"/>
      <c r="N40" s="297" t="b">
        <f t="shared" si="14"/>
        <v>0</v>
      </c>
      <c r="O40" s="298" t="b">
        <f t="shared" si="15"/>
        <v>0</v>
      </c>
      <c r="P40" s="302" t="b">
        <f t="shared" si="16"/>
        <v>0</v>
      </c>
      <c r="Q40" s="299" t="b">
        <f t="shared" si="17"/>
        <v>0</v>
      </c>
      <c r="R40" s="300" t="b">
        <f t="shared" si="18"/>
        <v>1</v>
      </c>
    </row>
    <row r="41" spans="1:18" x14ac:dyDescent="0.25">
      <c r="A41" s="361"/>
      <c r="B41" s="343" t="s">
        <v>316</v>
      </c>
      <c r="C41" s="234" t="str">
        <f>VLOOKUP(B41,Notes!$E$27:$F$49,2,FALSE)</f>
        <v>OSC Use only</v>
      </c>
      <c r="D41" s="337"/>
      <c r="E41" s="336"/>
      <c r="F41" s="330">
        <f t="shared" si="3"/>
        <v>0</v>
      </c>
      <c r="G41" s="234" t="s">
        <v>308</v>
      </c>
      <c r="H41" s="346"/>
      <c r="J41" s="254">
        <f t="shared" si="12"/>
        <v>0</v>
      </c>
      <c r="K41" s="301" t="b">
        <f t="shared" si="13"/>
        <v>1</v>
      </c>
      <c r="L41" s="301" t="b">
        <f t="shared" si="13"/>
        <v>1</v>
      </c>
      <c r="M41" s="301"/>
      <c r="N41" s="297" t="b">
        <f t="shared" si="14"/>
        <v>0</v>
      </c>
      <c r="O41" s="298" t="b">
        <f t="shared" si="15"/>
        <v>0</v>
      </c>
      <c r="P41" s="302" t="b">
        <f t="shared" si="16"/>
        <v>0</v>
      </c>
      <c r="Q41" s="299" t="b">
        <f t="shared" si="17"/>
        <v>0</v>
      </c>
      <c r="R41" s="300" t="b">
        <f t="shared" si="18"/>
        <v>1</v>
      </c>
    </row>
    <row r="42" spans="1:18" ht="13.8" thickBot="1" x14ac:dyDescent="0.3">
      <c r="A42" s="361"/>
      <c r="B42" s="343" t="s">
        <v>316</v>
      </c>
      <c r="C42" s="234" t="str">
        <f>VLOOKUP(B42,Notes!$E$27:$F$49,2,FALSE)</f>
        <v>OSC Use only</v>
      </c>
      <c r="D42" s="337"/>
      <c r="E42" s="336"/>
      <c r="F42" s="330">
        <f t="shared" si="3"/>
        <v>0</v>
      </c>
      <c r="G42" s="234" t="s">
        <v>308</v>
      </c>
      <c r="H42" s="346"/>
      <c r="J42" s="254">
        <f t="shared" si="12"/>
        <v>0</v>
      </c>
      <c r="K42" s="301" t="b">
        <f t="shared" si="13"/>
        <v>1</v>
      </c>
      <c r="L42" s="301" t="b">
        <f t="shared" si="13"/>
        <v>1</v>
      </c>
      <c r="M42" s="301"/>
      <c r="N42" s="297" t="b">
        <f t="shared" si="14"/>
        <v>0</v>
      </c>
      <c r="O42" s="298" t="b">
        <f t="shared" si="15"/>
        <v>0</v>
      </c>
      <c r="P42" s="302" t="b">
        <f t="shared" si="16"/>
        <v>0</v>
      </c>
      <c r="Q42" s="299" t="b">
        <f t="shared" si="17"/>
        <v>0</v>
      </c>
      <c r="R42" s="300" t="b">
        <f t="shared" si="18"/>
        <v>1</v>
      </c>
    </row>
    <row r="43" spans="1:18" ht="18" thickBot="1" x14ac:dyDescent="0.3">
      <c r="A43" s="254"/>
      <c r="B43" s="380" t="s">
        <v>320</v>
      </c>
      <c r="C43" s="380"/>
      <c r="D43" s="381"/>
      <c r="E43" s="338">
        <f>SUM(E26:E28)-SUM(E35:E37)</f>
        <v>-1000</v>
      </c>
      <c r="F43" s="256" t="str">
        <f>IF(E43&lt;&gt;0,"Ensure Balance Sheet Change Equals Operating Statement Change","")</f>
        <v>Ensure Balance Sheet Change Equals Operating Statement Change</v>
      </c>
      <c r="G43" s="257"/>
      <c r="H43" s="257"/>
      <c r="J43" s="254"/>
      <c r="K43" s="301"/>
      <c r="L43" s="301"/>
      <c r="M43" s="301"/>
      <c r="N43" s="297"/>
      <c r="O43" s="298"/>
      <c r="P43" s="302"/>
      <c r="Q43" s="299"/>
      <c r="R43" s="300"/>
    </row>
    <row r="44" spans="1:18" x14ac:dyDescent="0.25">
      <c r="B44" s="219" t="s">
        <v>268</v>
      </c>
      <c r="C44" s="372" t="s">
        <v>321</v>
      </c>
      <c r="D44" s="373"/>
      <c r="E44" s="373"/>
      <c r="F44" s="373"/>
      <c r="G44" s="374"/>
      <c r="H44" s="282"/>
      <c r="J44" s="254"/>
      <c r="K44" s="254"/>
      <c r="L44" s="254"/>
      <c r="M44" s="254"/>
      <c r="N44" s="297"/>
      <c r="O44" s="297"/>
      <c r="P44" s="299"/>
      <c r="Q44" s="299"/>
      <c r="R44" s="300"/>
    </row>
    <row r="45" spans="1:18" x14ac:dyDescent="0.25">
      <c r="A45" s="361" t="s">
        <v>322</v>
      </c>
      <c r="B45" s="343" t="s">
        <v>316</v>
      </c>
      <c r="C45" s="234" t="str">
        <f>VLOOKUP(B45,Notes!$E$52:$F$63,2,FALSE)</f>
        <v>OSC Use only</v>
      </c>
      <c r="D45" s="337"/>
      <c r="E45" s="336"/>
      <c r="F45" s="330">
        <f t="shared" si="3"/>
        <v>0</v>
      </c>
      <c r="G45" s="234" t="s">
        <v>308</v>
      </c>
      <c r="H45" s="341"/>
      <c r="J45" s="254">
        <f t="shared" ref="J45:J52" si="19">COUNTIF(K45:L45,FALSE)</f>
        <v>0</v>
      </c>
      <c r="K45" s="301" t="b">
        <f t="shared" ref="K45:L52" si="20">ISBLANK(D45)</f>
        <v>1</v>
      </c>
      <c r="L45" s="301" t="b">
        <f t="shared" si="20"/>
        <v>1</v>
      </c>
      <c r="M45" s="301"/>
      <c r="N45" s="297" t="b">
        <f t="shared" ref="N45:N52" si="21">IF(E45&lt;&gt;0,IF(B45="Select an account",NOT(ISBLANK(B45)),ISBLANK(B45)))</f>
        <v>0</v>
      </c>
      <c r="O45" s="298" t="b">
        <f t="shared" ref="O45:O52" si="22">IF(E45=0,IF(B45="Select an account",ISBLANK(B45),NOT(ISBLANK(B45))))</f>
        <v>0</v>
      </c>
      <c r="P45" s="302" t="b">
        <f t="shared" ref="P45:P52" si="23">IF(E45&lt;&gt;0,IF(G45="Select Reason",NOT(ISBLANK(G45)),ISBLANK(G45)))</f>
        <v>0</v>
      </c>
      <c r="Q45" s="299" t="b">
        <f t="shared" ref="Q45:Q52" si="24">IF(E45=0,IF(G45="Select Reason",ISBLANK(G45),NOT(ISBLANK(G45))))</f>
        <v>0</v>
      </c>
      <c r="R45" s="300" t="b">
        <f t="shared" ref="R45:R52" si="25">IF(E45=0,ISBLANK(H45),NOT(ISBLANK(H45)))</f>
        <v>1</v>
      </c>
    </row>
    <row r="46" spans="1:18" x14ac:dyDescent="0.25">
      <c r="A46" s="361"/>
      <c r="B46" s="343" t="s">
        <v>316</v>
      </c>
      <c r="C46" s="234" t="str">
        <f>VLOOKUP(B46,Notes!$E$52:$F$63,2,FALSE)</f>
        <v>OSC Use only</v>
      </c>
      <c r="D46" s="337"/>
      <c r="E46" s="336"/>
      <c r="F46" s="330">
        <f t="shared" si="3"/>
        <v>0</v>
      </c>
      <c r="G46" s="234" t="s">
        <v>308</v>
      </c>
      <c r="H46" s="341"/>
      <c r="J46" s="254">
        <f t="shared" si="19"/>
        <v>0</v>
      </c>
      <c r="K46" s="301" t="b">
        <f t="shared" si="20"/>
        <v>1</v>
      </c>
      <c r="L46" s="301" t="b">
        <f t="shared" si="20"/>
        <v>1</v>
      </c>
      <c r="M46" s="301"/>
      <c r="N46" s="297" t="b">
        <f t="shared" si="21"/>
        <v>0</v>
      </c>
      <c r="O46" s="298" t="b">
        <f t="shared" si="22"/>
        <v>0</v>
      </c>
      <c r="P46" s="302" t="b">
        <f t="shared" si="23"/>
        <v>0</v>
      </c>
      <c r="Q46" s="299" t="b">
        <f t="shared" si="24"/>
        <v>0</v>
      </c>
      <c r="R46" s="300" t="b">
        <f t="shared" si="25"/>
        <v>1</v>
      </c>
    </row>
    <row r="47" spans="1:18" x14ac:dyDescent="0.25">
      <c r="A47" s="361"/>
      <c r="B47" s="343" t="s">
        <v>316</v>
      </c>
      <c r="C47" s="234" t="str">
        <f>VLOOKUP(B47,Notes!$E$52:$F$63,2,FALSE)</f>
        <v>OSC Use only</v>
      </c>
      <c r="D47" s="337"/>
      <c r="E47" s="336"/>
      <c r="F47" s="330">
        <f t="shared" si="3"/>
        <v>0</v>
      </c>
      <c r="G47" s="234" t="s">
        <v>308</v>
      </c>
      <c r="H47" s="341"/>
      <c r="J47" s="254">
        <f t="shared" si="19"/>
        <v>0</v>
      </c>
      <c r="K47" s="301" t="b">
        <f t="shared" si="20"/>
        <v>1</v>
      </c>
      <c r="L47" s="301" t="b">
        <f t="shared" si="20"/>
        <v>1</v>
      </c>
      <c r="M47" s="301"/>
      <c r="N47" s="297" t="b">
        <f t="shared" si="21"/>
        <v>0</v>
      </c>
      <c r="O47" s="298" t="b">
        <f t="shared" si="22"/>
        <v>0</v>
      </c>
      <c r="P47" s="302" t="b">
        <f t="shared" si="23"/>
        <v>0</v>
      </c>
      <c r="Q47" s="299" t="b">
        <f t="shared" si="24"/>
        <v>0</v>
      </c>
      <c r="R47" s="300" t="b">
        <f t="shared" si="25"/>
        <v>1</v>
      </c>
    </row>
    <row r="48" spans="1:18" x14ac:dyDescent="0.25">
      <c r="A48" s="361"/>
      <c r="B48" s="343" t="s">
        <v>316</v>
      </c>
      <c r="C48" s="234" t="str">
        <f>VLOOKUP(B48,Notes!$E$52:$F$63,2,FALSE)</f>
        <v>OSC Use only</v>
      </c>
      <c r="D48" s="337"/>
      <c r="E48" s="336"/>
      <c r="F48" s="330">
        <f t="shared" si="3"/>
        <v>0</v>
      </c>
      <c r="G48" s="234" t="s">
        <v>308</v>
      </c>
      <c r="H48" s="341"/>
      <c r="J48" s="254">
        <f t="shared" si="19"/>
        <v>0</v>
      </c>
      <c r="K48" s="301" t="b">
        <f t="shared" si="20"/>
        <v>1</v>
      </c>
      <c r="L48" s="301" t="b">
        <f t="shared" si="20"/>
        <v>1</v>
      </c>
      <c r="M48" s="301"/>
      <c r="N48" s="297" t="b">
        <f t="shared" si="21"/>
        <v>0</v>
      </c>
      <c r="O48" s="298" t="b">
        <f t="shared" si="22"/>
        <v>0</v>
      </c>
      <c r="P48" s="302" t="b">
        <f t="shared" si="23"/>
        <v>0</v>
      </c>
      <c r="Q48" s="299" t="b">
        <f t="shared" si="24"/>
        <v>0</v>
      </c>
      <c r="R48" s="300" t="b">
        <f t="shared" si="25"/>
        <v>1</v>
      </c>
    </row>
    <row r="49" spans="1:18" x14ac:dyDescent="0.25">
      <c r="A49" s="361"/>
      <c r="B49" s="343" t="s">
        <v>316</v>
      </c>
      <c r="C49" s="234" t="str">
        <f>VLOOKUP(B49,Notes!$E$52:$F$63,2,FALSE)</f>
        <v>OSC Use only</v>
      </c>
      <c r="D49" s="337"/>
      <c r="E49" s="336"/>
      <c r="F49" s="330">
        <f t="shared" si="3"/>
        <v>0</v>
      </c>
      <c r="G49" s="234" t="s">
        <v>308</v>
      </c>
      <c r="H49" s="341"/>
      <c r="J49" s="254">
        <f t="shared" si="19"/>
        <v>0</v>
      </c>
      <c r="K49" s="301" t="b">
        <f t="shared" si="20"/>
        <v>1</v>
      </c>
      <c r="L49" s="301" t="b">
        <f t="shared" si="20"/>
        <v>1</v>
      </c>
      <c r="M49" s="301"/>
      <c r="N49" s="297" t="b">
        <f t="shared" si="21"/>
        <v>0</v>
      </c>
      <c r="O49" s="298" t="b">
        <f t="shared" si="22"/>
        <v>0</v>
      </c>
      <c r="P49" s="302" t="b">
        <f t="shared" si="23"/>
        <v>0</v>
      </c>
      <c r="Q49" s="299" t="b">
        <f t="shared" si="24"/>
        <v>0</v>
      </c>
      <c r="R49" s="300" t="b">
        <f t="shared" si="25"/>
        <v>1</v>
      </c>
    </row>
    <row r="50" spans="1:18" x14ac:dyDescent="0.25">
      <c r="A50" s="361"/>
      <c r="B50" s="343" t="s">
        <v>316</v>
      </c>
      <c r="C50" s="234" t="str">
        <f>VLOOKUP(B50,Notes!$E$52:$F$63,2,FALSE)</f>
        <v>OSC Use only</v>
      </c>
      <c r="D50" s="337"/>
      <c r="E50" s="336"/>
      <c r="F50" s="330">
        <f t="shared" si="3"/>
        <v>0</v>
      </c>
      <c r="G50" s="234" t="s">
        <v>308</v>
      </c>
      <c r="H50" s="341"/>
      <c r="J50" s="254">
        <f t="shared" si="19"/>
        <v>0</v>
      </c>
      <c r="K50" s="301" t="b">
        <f t="shared" si="20"/>
        <v>1</v>
      </c>
      <c r="L50" s="301" t="b">
        <f t="shared" si="20"/>
        <v>1</v>
      </c>
      <c r="M50" s="301"/>
      <c r="N50" s="297" t="b">
        <f t="shared" si="21"/>
        <v>0</v>
      </c>
      <c r="O50" s="298" t="b">
        <f t="shared" si="22"/>
        <v>0</v>
      </c>
      <c r="P50" s="302" t="b">
        <f t="shared" si="23"/>
        <v>0</v>
      </c>
      <c r="Q50" s="299" t="b">
        <f t="shared" si="24"/>
        <v>0</v>
      </c>
      <c r="R50" s="300" t="b">
        <f t="shared" si="25"/>
        <v>1</v>
      </c>
    </row>
    <row r="51" spans="1:18" x14ac:dyDescent="0.25">
      <c r="A51" s="361"/>
      <c r="B51" s="343" t="s">
        <v>316</v>
      </c>
      <c r="C51" s="234" t="str">
        <f>VLOOKUP(B51,Notes!$E$52:$F$63,2,FALSE)</f>
        <v>OSC Use only</v>
      </c>
      <c r="D51" s="337"/>
      <c r="E51" s="336"/>
      <c r="F51" s="330">
        <f t="shared" si="3"/>
        <v>0</v>
      </c>
      <c r="G51" s="234" t="s">
        <v>308</v>
      </c>
      <c r="H51" s="341"/>
      <c r="J51" s="254">
        <f t="shared" si="19"/>
        <v>0</v>
      </c>
      <c r="K51" s="301" t="b">
        <f t="shared" si="20"/>
        <v>1</v>
      </c>
      <c r="L51" s="301" t="b">
        <f t="shared" si="20"/>
        <v>1</v>
      </c>
      <c r="M51" s="301"/>
      <c r="N51" s="297" t="b">
        <f t="shared" si="21"/>
        <v>0</v>
      </c>
      <c r="O51" s="298" t="b">
        <f t="shared" si="22"/>
        <v>0</v>
      </c>
      <c r="P51" s="302" t="b">
        <f t="shared" si="23"/>
        <v>0</v>
      </c>
      <c r="Q51" s="299" t="b">
        <f t="shared" si="24"/>
        <v>0</v>
      </c>
      <c r="R51" s="300" t="b">
        <f t="shared" si="25"/>
        <v>1</v>
      </c>
    </row>
    <row r="52" spans="1:18" x14ac:dyDescent="0.25">
      <c r="A52" s="361"/>
      <c r="B52" s="343" t="s">
        <v>316</v>
      </c>
      <c r="C52" s="234" t="str">
        <f>VLOOKUP(B52,Notes!$E$52:$F$63,2,FALSE)</f>
        <v>OSC Use only</v>
      </c>
      <c r="D52" s="337"/>
      <c r="E52" s="336"/>
      <c r="F52" s="330">
        <f t="shared" si="3"/>
        <v>0</v>
      </c>
      <c r="G52" s="234" t="s">
        <v>308</v>
      </c>
      <c r="H52" s="341"/>
      <c r="J52" s="254">
        <f t="shared" si="19"/>
        <v>0</v>
      </c>
      <c r="K52" s="301" t="b">
        <f t="shared" si="20"/>
        <v>1</v>
      </c>
      <c r="L52" s="301" t="b">
        <f t="shared" si="20"/>
        <v>1</v>
      </c>
      <c r="M52" s="301"/>
      <c r="N52" s="297" t="b">
        <f t="shared" si="21"/>
        <v>0</v>
      </c>
      <c r="O52" s="298" t="b">
        <f t="shared" si="22"/>
        <v>0</v>
      </c>
      <c r="P52" s="302" t="b">
        <f t="shared" si="23"/>
        <v>0</v>
      </c>
      <c r="Q52" s="299" t="b">
        <f t="shared" si="24"/>
        <v>0</v>
      </c>
      <c r="R52" s="300" t="b">
        <f t="shared" si="25"/>
        <v>1</v>
      </c>
    </row>
    <row r="53" spans="1:18" x14ac:dyDescent="0.25">
      <c r="B53" s="219" t="s">
        <v>271</v>
      </c>
      <c r="C53" s="372" t="s">
        <v>323</v>
      </c>
      <c r="D53" s="373"/>
      <c r="E53" s="373"/>
      <c r="F53" s="373"/>
      <c r="G53" s="374"/>
      <c r="H53" s="282"/>
      <c r="J53" s="254"/>
      <c r="K53" s="254"/>
      <c r="L53" s="254"/>
      <c r="M53" s="254"/>
      <c r="N53" s="297"/>
      <c r="O53" s="297"/>
      <c r="P53" s="299"/>
      <c r="Q53" s="299"/>
      <c r="R53" s="300"/>
    </row>
    <row r="54" spans="1:18" x14ac:dyDescent="0.25">
      <c r="A54" s="361" t="s">
        <v>324</v>
      </c>
      <c r="B54" s="343" t="s">
        <v>316</v>
      </c>
      <c r="C54" s="234" t="str">
        <f>VLOOKUP(B54,Notes!$E$66:$F$70,2,FALSE)</f>
        <v>OSC Use only</v>
      </c>
      <c r="D54" s="337"/>
      <c r="E54" s="336"/>
      <c r="F54" s="330">
        <f t="shared" si="3"/>
        <v>0</v>
      </c>
      <c r="G54" s="234" t="s">
        <v>308</v>
      </c>
      <c r="H54" s="341"/>
      <c r="J54" s="254">
        <f t="shared" ref="J54:J61" si="26">COUNTIF(K54:L54,FALSE)</f>
        <v>0</v>
      </c>
      <c r="K54" s="301" t="b">
        <f t="shared" ref="K54:L61" si="27">ISBLANK(D54)</f>
        <v>1</v>
      </c>
      <c r="L54" s="301" t="b">
        <f t="shared" si="27"/>
        <v>1</v>
      </c>
      <c r="M54" s="301"/>
      <c r="N54" s="297" t="b">
        <f t="shared" ref="N54:N61" si="28">IF(E54&lt;&gt;0,IF(B54="Select an account",NOT(ISBLANK(B54)),ISBLANK(B54)))</f>
        <v>0</v>
      </c>
      <c r="O54" s="298" t="b">
        <f t="shared" ref="O54:O61" si="29">IF(E54=0,IF(B54="Select an account",ISBLANK(B54),NOT(ISBLANK(B54))))</f>
        <v>0</v>
      </c>
      <c r="P54" s="302" t="b">
        <f t="shared" ref="P54:P61" si="30">IF(E54&lt;&gt;0,IF(G54="Select Reason",NOT(ISBLANK(G54)),ISBLANK(G54)))</f>
        <v>0</v>
      </c>
      <c r="Q54" s="299" t="b">
        <f t="shared" ref="Q54:Q61" si="31">IF(E54=0,IF(G54="Select Reason",ISBLANK(G54),NOT(ISBLANK(G54))))</f>
        <v>0</v>
      </c>
      <c r="R54" s="300" t="b">
        <f t="shared" ref="R54:R61" si="32">IF(E54=0,ISBLANK(H54),NOT(ISBLANK(H54)))</f>
        <v>1</v>
      </c>
    </row>
    <row r="55" spans="1:18" x14ac:dyDescent="0.25">
      <c r="A55" s="361"/>
      <c r="B55" s="343" t="s">
        <v>316</v>
      </c>
      <c r="C55" s="234" t="str">
        <f>VLOOKUP(B55,Notes!$E$66:$F$70,2,FALSE)</f>
        <v>OSC Use only</v>
      </c>
      <c r="D55" s="337"/>
      <c r="E55" s="336"/>
      <c r="F55" s="330">
        <f t="shared" si="3"/>
        <v>0</v>
      </c>
      <c r="G55" s="234" t="s">
        <v>308</v>
      </c>
      <c r="H55" s="341"/>
      <c r="J55" s="254">
        <f t="shared" si="26"/>
        <v>0</v>
      </c>
      <c r="K55" s="301" t="b">
        <f t="shared" si="27"/>
        <v>1</v>
      </c>
      <c r="L55" s="301" t="b">
        <f t="shared" si="27"/>
        <v>1</v>
      </c>
      <c r="M55" s="301"/>
      <c r="N55" s="297" t="b">
        <f t="shared" si="28"/>
        <v>0</v>
      </c>
      <c r="O55" s="298" t="b">
        <f t="shared" si="29"/>
        <v>0</v>
      </c>
      <c r="P55" s="302" t="b">
        <f t="shared" si="30"/>
        <v>0</v>
      </c>
      <c r="Q55" s="299" t="b">
        <f t="shared" si="31"/>
        <v>0</v>
      </c>
      <c r="R55" s="300" t="b">
        <f t="shared" si="32"/>
        <v>1</v>
      </c>
    </row>
    <row r="56" spans="1:18" x14ac:dyDescent="0.25">
      <c r="A56" s="361"/>
      <c r="B56" s="343" t="s">
        <v>316</v>
      </c>
      <c r="C56" s="234" t="str">
        <f>VLOOKUP(B56,Notes!$E$66:$F$70,2,FALSE)</f>
        <v>OSC Use only</v>
      </c>
      <c r="D56" s="347"/>
      <c r="E56" s="345"/>
      <c r="F56" s="330">
        <f t="shared" si="3"/>
        <v>0</v>
      </c>
      <c r="G56" s="234" t="s">
        <v>308</v>
      </c>
      <c r="H56" s="341"/>
      <c r="J56" s="254">
        <f t="shared" si="26"/>
        <v>0</v>
      </c>
      <c r="K56" s="301" t="b">
        <f t="shared" si="27"/>
        <v>1</v>
      </c>
      <c r="L56" s="301" t="b">
        <f t="shared" si="27"/>
        <v>1</v>
      </c>
      <c r="M56" s="301"/>
      <c r="N56" s="297" t="b">
        <f t="shared" si="28"/>
        <v>0</v>
      </c>
      <c r="O56" s="298" t="b">
        <f t="shared" si="29"/>
        <v>0</v>
      </c>
      <c r="P56" s="302" t="b">
        <f t="shared" si="30"/>
        <v>0</v>
      </c>
      <c r="Q56" s="299" t="b">
        <f t="shared" si="31"/>
        <v>0</v>
      </c>
      <c r="R56" s="300" t="b">
        <f t="shared" si="32"/>
        <v>1</v>
      </c>
    </row>
    <row r="57" spans="1:18" x14ac:dyDescent="0.25">
      <c r="A57" s="361"/>
      <c r="B57" s="343" t="s">
        <v>316</v>
      </c>
      <c r="C57" s="234" t="str">
        <f>VLOOKUP(B57,Notes!$E$66:$F$70,2,FALSE)</f>
        <v>OSC Use only</v>
      </c>
      <c r="D57" s="347"/>
      <c r="E57" s="345"/>
      <c r="F57" s="330">
        <f t="shared" si="3"/>
        <v>0</v>
      </c>
      <c r="G57" s="234" t="s">
        <v>308</v>
      </c>
      <c r="H57" s="341"/>
      <c r="J57" s="254">
        <f t="shared" si="26"/>
        <v>0</v>
      </c>
      <c r="K57" s="301" t="b">
        <f t="shared" si="27"/>
        <v>1</v>
      </c>
      <c r="L57" s="301" t="b">
        <f t="shared" si="27"/>
        <v>1</v>
      </c>
      <c r="M57" s="301"/>
      <c r="N57" s="297" t="b">
        <f t="shared" si="28"/>
        <v>0</v>
      </c>
      <c r="O57" s="298" t="b">
        <f t="shared" si="29"/>
        <v>0</v>
      </c>
      <c r="P57" s="302" t="b">
        <f t="shared" si="30"/>
        <v>0</v>
      </c>
      <c r="Q57" s="299" t="b">
        <f t="shared" si="31"/>
        <v>0</v>
      </c>
      <c r="R57" s="300" t="b">
        <f t="shared" si="32"/>
        <v>1</v>
      </c>
    </row>
    <row r="58" spans="1:18" x14ac:dyDescent="0.25">
      <c r="A58" s="361"/>
      <c r="B58" s="343" t="s">
        <v>316</v>
      </c>
      <c r="C58" s="234" t="str">
        <f>VLOOKUP(B58,Notes!$E$66:$F$70,2,FALSE)</f>
        <v>OSC Use only</v>
      </c>
      <c r="D58" s="347"/>
      <c r="E58" s="345"/>
      <c r="F58" s="330">
        <f t="shared" si="3"/>
        <v>0</v>
      </c>
      <c r="G58" s="234" t="s">
        <v>308</v>
      </c>
      <c r="H58" s="341"/>
      <c r="J58" s="254">
        <f t="shared" si="26"/>
        <v>0</v>
      </c>
      <c r="K58" s="301" t="b">
        <f t="shared" si="27"/>
        <v>1</v>
      </c>
      <c r="L58" s="301" t="b">
        <f t="shared" si="27"/>
        <v>1</v>
      </c>
      <c r="M58" s="301"/>
      <c r="N58" s="297" t="b">
        <f t="shared" si="28"/>
        <v>0</v>
      </c>
      <c r="O58" s="298" t="b">
        <f t="shared" si="29"/>
        <v>0</v>
      </c>
      <c r="P58" s="302" t="b">
        <f t="shared" si="30"/>
        <v>0</v>
      </c>
      <c r="Q58" s="299" t="b">
        <f t="shared" si="31"/>
        <v>0</v>
      </c>
      <c r="R58" s="300" t="b">
        <f t="shared" si="32"/>
        <v>1</v>
      </c>
    </row>
    <row r="59" spans="1:18" x14ac:dyDescent="0.25">
      <c r="A59" s="361"/>
      <c r="B59" s="343" t="s">
        <v>316</v>
      </c>
      <c r="C59" s="234" t="str">
        <f>VLOOKUP(B59,Notes!$E$66:$F$70,2,FALSE)</f>
        <v>OSC Use only</v>
      </c>
      <c r="D59" s="347"/>
      <c r="E59" s="345"/>
      <c r="F59" s="330">
        <f t="shared" si="3"/>
        <v>0</v>
      </c>
      <c r="G59" s="234" t="s">
        <v>308</v>
      </c>
      <c r="H59" s="341"/>
      <c r="J59" s="254">
        <f t="shared" si="26"/>
        <v>0</v>
      </c>
      <c r="K59" s="301" t="b">
        <f t="shared" si="27"/>
        <v>1</v>
      </c>
      <c r="L59" s="301" t="b">
        <f t="shared" si="27"/>
        <v>1</v>
      </c>
      <c r="M59" s="301"/>
      <c r="N59" s="297" t="b">
        <f t="shared" si="28"/>
        <v>0</v>
      </c>
      <c r="O59" s="298" t="b">
        <f t="shared" si="29"/>
        <v>0</v>
      </c>
      <c r="P59" s="302" t="b">
        <f t="shared" si="30"/>
        <v>0</v>
      </c>
      <c r="Q59" s="299" t="b">
        <f t="shared" si="31"/>
        <v>0</v>
      </c>
      <c r="R59" s="300" t="b">
        <f t="shared" si="32"/>
        <v>1</v>
      </c>
    </row>
    <row r="60" spans="1:18" x14ac:dyDescent="0.25">
      <c r="A60" s="361"/>
      <c r="B60" s="343" t="s">
        <v>316</v>
      </c>
      <c r="C60" s="234" t="str">
        <f>VLOOKUP(B60,Notes!$E$66:$F$70,2,FALSE)</f>
        <v>OSC Use only</v>
      </c>
      <c r="D60" s="347"/>
      <c r="E60" s="345"/>
      <c r="F60" s="330">
        <f t="shared" si="3"/>
        <v>0</v>
      </c>
      <c r="G60" s="234" t="s">
        <v>308</v>
      </c>
      <c r="H60" s="341"/>
      <c r="J60" s="254">
        <f t="shared" si="26"/>
        <v>0</v>
      </c>
      <c r="K60" s="301" t="b">
        <f t="shared" si="27"/>
        <v>1</v>
      </c>
      <c r="L60" s="301" t="b">
        <f t="shared" si="27"/>
        <v>1</v>
      </c>
      <c r="M60" s="301"/>
      <c r="N60" s="297" t="b">
        <f t="shared" si="28"/>
        <v>0</v>
      </c>
      <c r="O60" s="298" t="b">
        <f t="shared" si="29"/>
        <v>0</v>
      </c>
      <c r="P60" s="302" t="b">
        <f t="shared" si="30"/>
        <v>0</v>
      </c>
      <c r="Q60" s="299" t="b">
        <f t="shared" si="31"/>
        <v>0</v>
      </c>
      <c r="R60" s="300" t="b">
        <f t="shared" si="32"/>
        <v>1</v>
      </c>
    </row>
    <row r="61" spans="1:18" x14ac:dyDescent="0.25">
      <c r="A61" s="361"/>
      <c r="B61" s="343" t="s">
        <v>316</v>
      </c>
      <c r="C61" s="234" t="str">
        <f>VLOOKUP(B61,Notes!$E$66:$F$70,2,FALSE)</f>
        <v>OSC Use only</v>
      </c>
      <c r="D61" s="347"/>
      <c r="E61" s="345"/>
      <c r="F61" s="330">
        <f t="shared" si="3"/>
        <v>0</v>
      </c>
      <c r="G61" s="234" t="s">
        <v>308</v>
      </c>
      <c r="H61" s="341"/>
      <c r="J61" s="254">
        <f t="shared" si="26"/>
        <v>0</v>
      </c>
      <c r="K61" s="301" t="b">
        <f t="shared" si="27"/>
        <v>1</v>
      </c>
      <c r="L61" s="301" t="b">
        <f t="shared" si="27"/>
        <v>1</v>
      </c>
      <c r="M61" s="301"/>
      <c r="N61" s="297" t="b">
        <f t="shared" si="28"/>
        <v>0</v>
      </c>
      <c r="O61" s="298" t="b">
        <f t="shared" si="29"/>
        <v>0</v>
      </c>
      <c r="P61" s="302" t="b">
        <f t="shared" si="30"/>
        <v>0</v>
      </c>
      <c r="Q61" s="299" t="b">
        <f t="shared" si="31"/>
        <v>0</v>
      </c>
      <c r="R61" s="300" t="b">
        <f t="shared" si="32"/>
        <v>1</v>
      </c>
    </row>
    <row r="62" spans="1:18" x14ac:dyDescent="0.25">
      <c r="A62" s="258"/>
      <c r="B62" s="233" t="s">
        <v>325</v>
      </c>
      <c r="C62" s="259" t="s">
        <v>326</v>
      </c>
      <c r="D62" s="260"/>
      <c r="E62" s="233"/>
      <c r="F62" s="260"/>
      <c r="G62" s="249"/>
      <c r="H62" s="261"/>
      <c r="J62" s="254"/>
      <c r="K62" s="301"/>
      <c r="L62" s="301"/>
      <c r="M62" s="301"/>
      <c r="N62" s="297"/>
      <c r="O62" s="297"/>
      <c r="P62" s="302"/>
      <c r="Q62" s="302"/>
      <c r="R62" s="300"/>
    </row>
    <row r="63" spans="1:18" ht="13.8" thickBot="1" x14ac:dyDescent="0.3">
      <c r="A63" s="262" t="s">
        <v>327</v>
      </c>
      <c r="B63" s="263" t="s">
        <v>328</v>
      </c>
      <c r="C63" s="264" t="s">
        <v>328</v>
      </c>
      <c r="D63" s="337">
        <v>20000</v>
      </c>
      <c r="E63" s="336">
        <v>-1000</v>
      </c>
      <c r="F63" s="330">
        <f>+D63+E63</f>
        <v>19000</v>
      </c>
      <c r="G63" s="234" t="s">
        <v>702</v>
      </c>
      <c r="H63" s="342" t="s">
        <v>717</v>
      </c>
      <c r="J63" s="254">
        <f t="shared" ref="J63" si="33">COUNTIF(K63:L63,FALSE)</f>
        <v>2</v>
      </c>
      <c r="K63" s="254" t="b">
        <f>ISBLANK(D63)</f>
        <v>0</v>
      </c>
      <c r="L63" s="254" t="b">
        <f>ISBLANK(E63)</f>
        <v>0</v>
      </c>
      <c r="M63" s="301"/>
      <c r="N63" s="303" t="str">
        <f>IF(E63&lt;&gt;0,"FALSE","TRUE")</f>
        <v>FALSE</v>
      </c>
      <c r="O63" s="303" t="str">
        <f>IF(E63=0,"FALSE","TRUE")</f>
        <v>TRUE</v>
      </c>
      <c r="P63" s="304" t="b">
        <f>IF(E63&lt;&gt;0,IF(G63="Select Reason",NOT(ISBLANK(G63)),ISBLANK(G63)))</f>
        <v>0</v>
      </c>
      <c r="Q63" s="305" t="b">
        <f>IF(E63=0,IF(G63="Select Reason",ISBLANK(G63),NOT(ISBLANK(G63))))</f>
        <v>0</v>
      </c>
      <c r="R63" s="300" t="b">
        <f>IF(E63=0,ISBLANK(H63),NOT(ISBLANK(H63)))</f>
        <v>1</v>
      </c>
    </row>
    <row r="64" spans="1:18" ht="18" thickBot="1" x14ac:dyDescent="0.3">
      <c r="A64" s="258"/>
      <c r="B64" s="382" t="s">
        <v>330</v>
      </c>
      <c r="C64" s="382"/>
      <c r="D64" s="383"/>
      <c r="E64" s="338">
        <f>(SUM(E45:E47)+E63)-SUM(E54:E56)</f>
        <v>-1000</v>
      </c>
      <c r="F64" s="256" t="str">
        <f>IF(E64&lt;&gt;0,"Ensure Operating Statement Change Equals Balance Sheet Change.","")</f>
        <v>Ensure Operating Statement Change Equals Balance Sheet Change.</v>
      </c>
      <c r="G64" s="267"/>
      <c r="H64" s="268"/>
      <c r="J64" s="254"/>
      <c r="K64" s="301"/>
      <c r="L64" s="301"/>
      <c r="M64" s="301"/>
      <c r="N64" s="306"/>
      <c r="O64" s="306"/>
      <c r="P64" s="302"/>
      <c r="Q64" s="302"/>
      <c r="R64" s="300"/>
    </row>
    <row r="65" spans="1:18" ht="16.2" thickBot="1" x14ac:dyDescent="0.3">
      <c r="B65" s="375" t="s">
        <v>331</v>
      </c>
      <c r="C65" s="376"/>
      <c r="D65" s="377"/>
      <c r="E65" s="339">
        <f>(SUM(E26:E28)+SUM(E45:E47))-((SUM(E35:E37)+SUM(E54:E56)))</f>
        <v>-1000</v>
      </c>
      <c r="F65" s="378"/>
      <c r="G65" s="379"/>
      <c r="H65" s="341"/>
      <c r="J65" s="254"/>
      <c r="K65" s="254"/>
      <c r="L65" s="254"/>
      <c r="M65" s="254"/>
      <c r="N65" s="297"/>
      <c r="O65" s="297"/>
      <c r="P65" s="299"/>
      <c r="Q65" s="299"/>
      <c r="R65" s="300"/>
    </row>
    <row r="66" spans="1:18" ht="84.6" customHeight="1" thickBot="1" x14ac:dyDescent="0.3">
      <c r="A66" s="251" t="s">
        <v>312</v>
      </c>
      <c r="B66" s="269" t="str">
        <f>IF(C17=0,"OK",IF(O67=0,"OK","Choose or Remove 'select an account'"))</f>
        <v>OK</v>
      </c>
      <c r="C66" s="270"/>
      <c r="D66" s="250" t="str">
        <f>IF(C17=0,"OK",IF(SUM(D19:D22)&lt;&gt;0,IF(L67=1,"ERROR - Check the beginning balance of row B, C, D, E or F","OK")))</f>
        <v>OK</v>
      </c>
      <c r="E66" s="271" t="str">
        <f>IF(C17=0,"OK",IF(E68="OK","OK", "ERROR - Check sign or amount at row B, C, D, E or F for Balance Sheet Change or Operating Statement Change"))</f>
        <v>OK</v>
      </c>
      <c r="F66" s="270"/>
      <c r="G66" s="271" t="str">
        <f>IF(Q67=0,"OK","Select a restatement reason at an appropriate line, or Remove a restatement reason at the incorrect line.")</f>
        <v>OK</v>
      </c>
      <c r="H66" s="271" t="str">
        <f>IF(R66=0,"OK","Provide or Remove explanation at column I")</f>
        <v>OK</v>
      </c>
      <c r="J66" s="307"/>
      <c r="K66" s="308">
        <f>COUNTIF(K19:K63,FALSE)</f>
        <v>3</v>
      </c>
      <c r="L66" s="308">
        <f>COUNTIF(L19:L63,FALSE)</f>
        <v>3</v>
      </c>
      <c r="M66" s="308"/>
      <c r="N66" s="309">
        <f t="shared" ref="N66:Q66" si="34">COUNTIF(N19:N63,TRUE)</f>
        <v>0</v>
      </c>
      <c r="O66" s="309">
        <f t="shared" si="34"/>
        <v>0</v>
      </c>
      <c r="P66" s="310">
        <f t="shared" si="34"/>
        <v>0</v>
      </c>
      <c r="Q66" s="310">
        <f t="shared" si="34"/>
        <v>0</v>
      </c>
      <c r="R66" s="311">
        <f>COUNTIF(R19:R63,FALSE)</f>
        <v>0</v>
      </c>
    </row>
    <row r="67" spans="1:18" ht="44.4" customHeight="1" thickBot="1" x14ac:dyDescent="0.3">
      <c r="A67" s="251" t="s">
        <v>312</v>
      </c>
      <c r="B67" s="273" t="s">
        <v>332</v>
      </c>
      <c r="C67" s="254"/>
      <c r="D67" s="254"/>
      <c r="E67" s="271" t="str">
        <f>IF(F69=C17,"OK","ERROR - check restatement amount. The difference is "&amp;TEXT(E69,"$0,000.00."))</f>
        <v>OK</v>
      </c>
      <c r="F67" s="254"/>
      <c r="G67" s="254"/>
      <c r="H67" s="254"/>
      <c r="J67" s="254"/>
      <c r="K67" s="254"/>
      <c r="L67" s="254">
        <f>IF(L66-K66=0,0,1)</f>
        <v>0</v>
      </c>
      <c r="M67" s="254"/>
      <c r="N67" s="297"/>
      <c r="O67" s="297">
        <f>IF(O66-N66=0,0,1)</f>
        <v>0</v>
      </c>
      <c r="P67" s="299"/>
      <c r="Q67" s="299">
        <f>IF(Q66-P66=0,0,1)</f>
        <v>0</v>
      </c>
      <c r="R67" s="254"/>
    </row>
    <row r="68" spans="1:18" ht="15.6" hidden="1" x14ac:dyDescent="0.25">
      <c r="B68" s="238" t="s">
        <v>333</v>
      </c>
      <c r="C68" s="274"/>
      <c r="D68" s="274"/>
      <c r="E68" s="275" t="str">
        <f>IF(C17&lt;&gt;0,IF(C17=F69,"OK","ERROR"))</f>
        <v>OK</v>
      </c>
      <c r="F68" s="276" t="s">
        <v>334</v>
      </c>
    </row>
    <row r="69" spans="1:18" ht="13.95" hidden="1" customHeight="1" x14ac:dyDescent="0.25">
      <c r="B69" s="277" t="s">
        <v>335</v>
      </c>
      <c r="C69" s="278"/>
      <c r="D69" s="254"/>
      <c r="E69" s="278">
        <f>IF(C17&lt;&gt;0,E43-E64,"ERROR")</f>
        <v>0</v>
      </c>
      <c r="F69" s="278">
        <f>IF(E69=0,E64,0)</f>
        <v>-1000</v>
      </c>
    </row>
    <row r="70" spans="1:18" x14ac:dyDescent="0.25">
      <c r="B70" s="32"/>
      <c r="C70" s="171"/>
    </row>
    <row r="71" spans="1:18" x14ac:dyDescent="0.25">
      <c r="B71" s="32"/>
    </row>
  </sheetData>
  <sheetProtection algorithmName="SHA-512" hashValue="FMxr7ckIIC6nnK+tBjD9tpcw7XeHKN2MkOKXu/cI1zIDEjwARpRyAbKmgWbx4g/x5GZLcDqE43gNEOEfcvH/hw==" saltValue="2TlLJQBtBhv3mjlNRDzP/Q==" spinCount="100000" sheet="1" objects="1" scenarios="1"/>
  <mergeCells count="18">
    <mergeCell ref="B2:H2"/>
    <mergeCell ref="B6:H6"/>
    <mergeCell ref="C34:G34"/>
    <mergeCell ref="A35:A42"/>
    <mergeCell ref="B43:D43"/>
    <mergeCell ref="B5:G5"/>
    <mergeCell ref="B18:G18"/>
    <mergeCell ref="A19:A22"/>
    <mergeCell ref="H24:H25"/>
    <mergeCell ref="C25:G25"/>
    <mergeCell ref="A26:A33"/>
    <mergeCell ref="A54:A61"/>
    <mergeCell ref="B64:D64"/>
    <mergeCell ref="B65:D65"/>
    <mergeCell ref="F65:G65"/>
    <mergeCell ref="C44:G44"/>
    <mergeCell ref="A45:A52"/>
    <mergeCell ref="C53:G53"/>
  </mergeCells>
  <conditionalFormatting sqref="D19:E22">
    <cfRule type="cellIs" dxfId="28" priority="21" operator="notEqual">
      <formula>0</formula>
    </cfRule>
  </conditionalFormatting>
  <conditionalFormatting sqref="D26:E33">
    <cfRule type="cellIs" dxfId="27" priority="17" operator="notEqual">
      <formula>0</formula>
    </cfRule>
    <cfRule type="cellIs" dxfId="26" priority="18" operator="notEqual">
      <formula>0</formula>
    </cfRule>
    <cfRule type="cellIs" dxfId="25" priority="19" operator="notEqual">
      <formula>0</formula>
    </cfRule>
    <cfRule type="containsText" dxfId="24" priority="20" operator="containsText" text="&lt;&gt;&quot;&quot;">
      <formula>NOT(ISERROR(SEARCH("&lt;&gt;""""",D26)))</formula>
    </cfRule>
  </conditionalFormatting>
  <conditionalFormatting sqref="D35:E42">
    <cfRule type="cellIs" dxfId="23" priority="13" operator="notEqual">
      <formula>0</formula>
    </cfRule>
    <cfRule type="cellIs" dxfId="22" priority="14" operator="notEqual">
      <formula>0</formula>
    </cfRule>
    <cfRule type="cellIs" dxfId="21" priority="15" operator="notEqual">
      <formula>0</formula>
    </cfRule>
    <cfRule type="containsText" dxfId="20" priority="16" operator="containsText" text="&lt;&gt;&quot;&quot;">
      <formula>NOT(ISERROR(SEARCH("&lt;&gt;""""",D35)))</formula>
    </cfRule>
  </conditionalFormatting>
  <conditionalFormatting sqref="D45:E52">
    <cfRule type="cellIs" dxfId="19" priority="9" operator="notEqual">
      <formula>0</formula>
    </cfRule>
    <cfRule type="cellIs" dxfId="18" priority="10" operator="notEqual">
      <formula>0</formula>
    </cfRule>
    <cfRule type="cellIs" dxfId="17" priority="11" operator="notEqual">
      <formula>0</formula>
    </cfRule>
    <cfRule type="containsText" dxfId="16" priority="12" operator="containsText" text="&lt;&gt;&quot;&quot;">
      <formula>NOT(ISERROR(SEARCH("&lt;&gt;""""",D45)))</formula>
    </cfRule>
  </conditionalFormatting>
  <conditionalFormatting sqref="D54:E61">
    <cfRule type="cellIs" dxfId="15" priority="5" operator="notEqual">
      <formula>0</formula>
    </cfRule>
    <cfRule type="cellIs" dxfId="14" priority="6" operator="notEqual">
      <formula>0</formula>
    </cfRule>
    <cfRule type="cellIs" dxfId="13" priority="7" operator="notEqual">
      <formula>0</formula>
    </cfRule>
    <cfRule type="containsText" dxfId="12" priority="8" operator="containsText" text="&lt;&gt;&quot;&quot;">
      <formula>NOT(ISERROR(SEARCH("&lt;&gt;""""",D54)))</formula>
    </cfRule>
  </conditionalFormatting>
  <conditionalFormatting sqref="D63:E63">
    <cfRule type="cellIs" dxfId="11" priority="1" operator="notEqual">
      <formula>0</formula>
    </cfRule>
    <cfRule type="cellIs" dxfId="10" priority="2" operator="notEqual">
      <formula>0</formula>
    </cfRule>
    <cfRule type="cellIs" dxfId="9" priority="3" operator="notEqual">
      <formula>0</formula>
    </cfRule>
    <cfRule type="containsText" dxfId="8" priority="4" operator="containsText" text="&lt;&gt;&quot;&quot;">
      <formula>NOT(ISERROR(SEARCH("&lt;&gt;""""",D63)))</formula>
    </cfRule>
  </conditionalFormatting>
  <conditionalFormatting sqref="E43 G43:H43">
    <cfRule type="cellIs" dxfId="7" priority="26" operator="notEqual">
      <formula>0</formula>
    </cfRule>
    <cfRule type="cellIs" dxfId="6" priority="27" operator="notEqual">
      <formula>0</formula>
    </cfRule>
    <cfRule type="cellIs" dxfId="5" priority="28" operator="notEqual">
      <formula>0</formula>
    </cfRule>
    <cfRule type="containsText" dxfId="4" priority="29" operator="containsText" text="&lt;&gt;&quot;&quot;">
      <formula>NOT(ISERROR(SEARCH("&lt;&gt;""""",E43)))</formula>
    </cfRule>
  </conditionalFormatting>
  <conditionalFormatting sqref="E64 G64:H64">
    <cfRule type="cellIs" dxfId="3" priority="22" operator="notEqual">
      <formula>0</formula>
    </cfRule>
    <cfRule type="cellIs" dxfId="2" priority="23" operator="notEqual">
      <formula>0</formula>
    </cfRule>
    <cfRule type="cellIs" dxfId="1" priority="24" operator="notEqual">
      <formula>0</formula>
    </cfRule>
    <cfRule type="containsText" dxfId="0" priority="25" operator="containsText" text="&lt;&gt;&quot;&quot;">
      <formula>NOT(ISERROR(SEARCH("&lt;&gt;""""",E64)))</formula>
    </cfRule>
  </conditionalFormatting>
  <dataValidations count="2">
    <dataValidation allowBlank="1" showInputMessage="1" showErrorMessage="1" prompt="Also complete Asset/Liabilties (row B/C) and Revenue/Expenses/Restatements (row D/E/F)." sqref="E19:E22" xr:uid="{85A64F9E-F58D-4C9C-A946-1A8624CBB381}"/>
    <dataValidation allowBlank="1" showInputMessage="1" showErrorMessage="1" prompt="No Restatement - leave blank_x000a_Restatement - enter beginning balance or $0 if data is not available." sqref="D63 D19:D22 D35:D42 D45:D52 D54:D61 D26:D33" xr:uid="{2BF106E4-57B0-41BD-B515-6CFA0083540F}"/>
  </dataValidations>
  <hyperlinks>
    <hyperlink ref="F13" r:id="rId1" xr:uid="{10C072FB-CF50-459A-8641-DA9D2358A466}"/>
  </hyperlinks>
  <pageMargins left="0.7" right="0.7" top="0.75" bottom="0.75" header="0.3" footer="0.3"/>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ER = Error Correction (e.g. audit adjustment or prior year group asset adjustment)_x000a_O = Change in accounting principal " xr:uid="{3E455558-5FA4-4096-B2BF-D3261AA6014F}">
          <x14:formula1>
            <xm:f>Notes!$D$78:$D$90</xm:f>
          </x14:formula1>
          <xm:sqref>G19:G22 G26:G33 G35:G42 G45:G52 G54:G61 G63</xm:sqref>
        </x14:dataValidation>
        <x14:dataValidation type="list" allowBlank="1" showInputMessage="1" showErrorMessage="1" xr:uid="{32780152-42AF-497D-931D-F4F6BD20D4D1}">
          <x14:formula1>
            <xm:f>Notes!$E$27:$E$49</xm:f>
          </x14:formula1>
          <xm:sqref>B35:B42</xm:sqref>
        </x14:dataValidation>
        <x14:dataValidation type="list" allowBlank="1" showInputMessage="1" showErrorMessage="1" xr:uid="{138FA468-1209-490F-89CF-8B61A4594FA4}">
          <x14:formula1>
            <xm:f>Notes!$E$66:$E$70</xm:f>
          </x14:formula1>
          <xm:sqref>B54:B61</xm:sqref>
        </x14:dataValidation>
        <x14:dataValidation type="list" allowBlank="1" showInputMessage="1" showErrorMessage="1" xr:uid="{8E2F110F-8762-4B8F-AEBB-AAA6565377FB}">
          <x14:formula1>
            <xm:f>Notes!$E$52:$E$63</xm:f>
          </x14:formula1>
          <xm:sqref>B45:B52</xm:sqref>
        </x14:dataValidation>
        <x14:dataValidation type="list" allowBlank="1" showInputMessage="1" showErrorMessage="1" xr:uid="{FC32A975-6739-4240-A273-74DB1D2BD416}">
          <x14:formula1>
            <xm:f>Notes!$E$3:$E$24</xm:f>
          </x14:formula1>
          <xm:sqref>B26:B33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100"/>
  <sheetViews>
    <sheetView workbookViewId="0">
      <selection activeCell="F32" sqref="F32"/>
    </sheetView>
  </sheetViews>
  <sheetFormatPr defaultRowHeight="13.2" x14ac:dyDescent="0.25"/>
  <cols>
    <col min="1" max="1" width="89.88671875" customWidth="1"/>
  </cols>
  <sheetData>
    <row r="1" spans="1:6" s="13" customFormat="1" ht="12.75" customHeight="1" x14ac:dyDescent="0.25">
      <c r="A1" s="1" t="e">
        <f>CONCATENATE(Info!D7," Foundations")</f>
        <v>#N/A</v>
      </c>
      <c r="B1" s="171"/>
      <c r="C1" s="171"/>
      <c r="D1" s="171"/>
      <c r="E1" s="171"/>
      <c r="F1" s="30"/>
    </row>
    <row r="2" spans="1:6" s="13" customFormat="1" ht="12.75" customHeight="1" x14ac:dyDescent="0.25">
      <c r="A2" s="1" t="s">
        <v>336</v>
      </c>
      <c r="B2" s="171"/>
      <c r="C2" s="171"/>
      <c r="D2" s="171"/>
      <c r="E2" s="171"/>
      <c r="F2" s="171"/>
    </row>
    <row r="3" spans="1:6" s="13" customFormat="1" ht="12.75" customHeight="1" x14ac:dyDescent="0.25">
      <c r="A3" s="209" t="str">
        <f>' Use Stmt'!A4</f>
        <v>For the Year Ended June 30, 2025</v>
      </c>
      <c r="B3" s="171"/>
      <c r="C3" s="171"/>
      <c r="D3" s="171"/>
      <c r="E3" s="171"/>
      <c r="F3" s="171"/>
    </row>
    <row r="4" spans="1:6" x14ac:dyDescent="0.25">
      <c r="A4" s="52" t="s">
        <v>697</v>
      </c>
    </row>
    <row r="5" spans="1:6" x14ac:dyDescent="0.25">
      <c r="A5" s="185"/>
    </row>
    <row r="6" spans="1:6" x14ac:dyDescent="0.25">
      <c r="A6" s="52"/>
    </row>
    <row r="7" spans="1:6" x14ac:dyDescent="0.25">
      <c r="A7" s="52"/>
    </row>
    <row r="8" spans="1:6" x14ac:dyDescent="0.25">
      <c r="A8" s="52"/>
    </row>
    <row r="9" spans="1:6" x14ac:dyDescent="0.25">
      <c r="A9" s="52"/>
    </row>
    <row r="10" spans="1:6" x14ac:dyDescent="0.25">
      <c r="A10" s="52"/>
    </row>
    <row r="11" spans="1:6" x14ac:dyDescent="0.25">
      <c r="A11" s="52"/>
    </row>
    <row r="12" spans="1:6" x14ac:dyDescent="0.25">
      <c r="A12" s="52"/>
    </row>
    <row r="13" spans="1:6" x14ac:dyDescent="0.25">
      <c r="A13" s="52"/>
    </row>
    <row r="14" spans="1:6" x14ac:dyDescent="0.25">
      <c r="A14" s="52"/>
    </row>
    <row r="15" spans="1:6" x14ac:dyDescent="0.25">
      <c r="A15" s="52"/>
    </row>
    <row r="16" spans="1:6" x14ac:dyDescent="0.25">
      <c r="A16" s="52"/>
    </row>
    <row r="17" spans="1:1" x14ac:dyDescent="0.25">
      <c r="A17" s="52"/>
    </row>
    <row r="18" spans="1:1" x14ac:dyDescent="0.25">
      <c r="A18" s="52"/>
    </row>
    <row r="19" spans="1:1" x14ac:dyDescent="0.25">
      <c r="A19" s="52"/>
    </row>
    <row r="20" spans="1:1" x14ac:dyDescent="0.25">
      <c r="A20" s="52"/>
    </row>
    <row r="21" spans="1:1" x14ac:dyDescent="0.25">
      <c r="A21" s="52"/>
    </row>
    <row r="22" spans="1:1" x14ac:dyDescent="0.25">
      <c r="A22" s="52"/>
    </row>
    <row r="23" spans="1:1" x14ac:dyDescent="0.25">
      <c r="A23" s="52"/>
    </row>
    <row r="24" spans="1:1" x14ac:dyDescent="0.25">
      <c r="A24" s="52"/>
    </row>
    <row r="25" spans="1:1" x14ac:dyDescent="0.25">
      <c r="A25" s="52"/>
    </row>
    <row r="26" spans="1:1" x14ac:dyDescent="0.25">
      <c r="A26" s="52"/>
    </row>
    <row r="27" spans="1:1" x14ac:dyDescent="0.25">
      <c r="A27" s="52"/>
    </row>
    <row r="28" spans="1:1" x14ac:dyDescent="0.25">
      <c r="A28" s="52"/>
    </row>
    <row r="29" spans="1:1" x14ac:dyDescent="0.25">
      <c r="A29" s="52"/>
    </row>
    <row r="30" spans="1:1" x14ac:dyDescent="0.25">
      <c r="A30" s="52"/>
    </row>
    <row r="31" spans="1:1" x14ac:dyDescent="0.25">
      <c r="A31" s="52"/>
    </row>
    <row r="32" spans="1:1" x14ac:dyDescent="0.25">
      <c r="A32" s="52"/>
    </row>
    <row r="33" spans="1:1" x14ac:dyDescent="0.25">
      <c r="A33" s="52"/>
    </row>
    <row r="34" spans="1:1" x14ac:dyDescent="0.25">
      <c r="A34" s="52"/>
    </row>
    <row r="35" spans="1:1" x14ac:dyDescent="0.25">
      <c r="A35" s="52"/>
    </row>
    <row r="36" spans="1:1" x14ac:dyDescent="0.25">
      <c r="A36" s="52"/>
    </row>
    <row r="37" spans="1:1" x14ac:dyDescent="0.25">
      <c r="A37" s="52"/>
    </row>
    <row r="38" spans="1:1" x14ac:dyDescent="0.25">
      <c r="A38" s="52"/>
    </row>
    <row r="39" spans="1:1" x14ac:dyDescent="0.25">
      <c r="A39" s="52"/>
    </row>
    <row r="40" spans="1:1" x14ac:dyDescent="0.25">
      <c r="A40" s="52"/>
    </row>
    <row r="41" spans="1:1" x14ac:dyDescent="0.25">
      <c r="A41" s="52"/>
    </row>
    <row r="42" spans="1:1" x14ac:dyDescent="0.25">
      <c r="A42" s="52"/>
    </row>
    <row r="43" spans="1:1" x14ac:dyDescent="0.25">
      <c r="A43" s="52"/>
    </row>
    <row r="44" spans="1:1" x14ac:dyDescent="0.25">
      <c r="A44" s="52"/>
    </row>
    <row r="45" spans="1:1" x14ac:dyDescent="0.25">
      <c r="A45" s="52"/>
    </row>
    <row r="46" spans="1:1" x14ac:dyDescent="0.25">
      <c r="A46" s="52"/>
    </row>
    <row r="47" spans="1:1" x14ac:dyDescent="0.25">
      <c r="A47" s="52"/>
    </row>
    <row r="48" spans="1:1" x14ac:dyDescent="0.25">
      <c r="A48" s="52"/>
    </row>
    <row r="49" spans="1:1" x14ac:dyDescent="0.25">
      <c r="A49" s="52"/>
    </row>
    <row r="50" spans="1:1" x14ac:dyDescent="0.25">
      <c r="A50" s="52"/>
    </row>
    <row r="51" spans="1:1" x14ac:dyDescent="0.25">
      <c r="A51" s="52"/>
    </row>
    <row r="52" spans="1:1" x14ac:dyDescent="0.25">
      <c r="A52" s="52"/>
    </row>
    <row r="53" spans="1:1" x14ac:dyDescent="0.25">
      <c r="A53" s="52"/>
    </row>
    <row r="54" spans="1:1" x14ac:dyDescent="0.25">
      <c r="A54" s="52"/>
    </row>
    <row r="55" spans="1:1" x14ac:dyDescent="0.25">
      <c r="A55" s="52"/>
    </row>
    <row r="56" spans="1:1" x14ac:dyDescent="0.25">
      <c r="A56" s="52"/>
    </row>
    <row r="57" spans="1:1" x14ac:dyDescent="0.25">
      <c r="A57" s="52"/>
    </row>
    <row r="58" spans="1:1" x14ac:dyDescent="0.25">
      <c r="A58" s="52"/>
    </row>
    <row r="59" spans="1:1" x14ac:dyDescent="0.25">
      <c r="A59" s="52"/>
    </row>
    <row r="60" spans="1:1" x14ac:dyDescent="0.25">
      <c r="A60" s="52"/>
    </row>
    <row r="61" spans="1:1" x14ac:dyDescent="0.25">
      <c r="A61" s="52"/>
    </row>
    <row r="62" spans="1:1" x14ac:dyDescent="0.25">
      <c r="A62" s="52"/>
    </row>
    <row r="63" spans="1:1" x14ac:dyDescent="0.25">
      <c r="A63" s="52"/>
    </row>
    <row r="64" spans="1:1" x14ac:dyDescent="0.25">
      <c r="A64" s="52"/>
    </row>
    <row r="65" spans="1:1" x14ac:dyDescent="0.25">
      <c r="A65" s="52"/>
    </row>
    <row r="66" spans="1:1" x14ac:dyDescent="0.25">
      <c r="A66" s="52"/>
    </row>
    <row r="67" spans="1:1" x14ac:dyDescent="0.25">
      <c r="A67" s="52"/>
    </row>
    <row r="68" spans="1:1" x14ac:dyDescent="0.25">
      <c r="A68" s="52"/>
    </row>
    <row r="69" spans="1:1" x14ac:dyDescent="0.25">
      <c r="A69" s="52"/>
    </row>
    <row r="70" spans="1:1" x14ac:dyDescent="0.25">
      <c r="A70" s="52"/>
    </row>
    <row r="71" spans="1:1" x14ac:dyDescent="0.25">
      <c r="A71" s="52"/>
    </row>
    <row r="72" spans="1:1" x14ac:dyDescent="0.25">
      <c r="A72" s="52"/>
    </row>
    <row r="73" spans="1:1" x14ac:dyDescent="0.25">
      <c r="A73" s="52"/>
    </row>
    <row r="74" spans="1:1" x14ac:dyDescent="0.25">
      <c r="A74" s="52"/>
    </row>
    <row r="75" spans="1:1" x14ac:dyDescent="0.25">
      <c r="A75" s="52"/>
    </row>
    <row r="76" spans="1:1" x14ac:dyDescent="0.25">
      <c r="A76" s="52"/>
    </row>
    <row r="77" spans="1:1" x14ac:dyDescent="0.25">
      <c r="A77" s="52"/>
    </row>
    <row r="78" spans="1:1" x14ac:dyDescent="0.25">
      <c r="A78" s="52"/>
    </row>
    <row r="79" spans="1:1" x14ac:dyDescent="0.25">
      <c r="A79" s="52"/>
    </row>
    <row r="80" spans="1:1" x14ac:dyDescent="0.25">
      <c r="A80" s="52"/>
    </row>
    <row r="81" spans="1:1" x14ac:dyDescent="0.25">
      <c r="A81" s="52"/>
    </row>
    <row r="82" spans="1:1" x14ac:dyDescent="0.25">
      <c r="A82" s="52"/>
    </row>
    <row r="83" spans="1:1" x14ac:dyDescent="0.25">
      <c r="A83" s="52"/>
    </row>
    <row r="84" spans="1:1" x14ac:dyDescent="0.25">
      <c r="A84" s="52"/>
    </row>
    <row r="85" spans="1:1" x14ac:dyDescent="0.25">
      <c r="A85" s="52"/>
    </row>
    <row r="86" spans="1:1" x14ac:dyDescent="0.25">
      <c r="A86" s="52"/>
    </row>
    <row r="87" spans="1:1" x14ac:dyDescent="0.25">
      <c r="A87" s="52"/>
    </row>
    <row r="88" spans="1:1" x14ac:dyDescent="0.25">
      <c r="A88" s="52"/>
    </row>
    <row r="89" spans="1:1" x14ac:dyDescent="0.25">
      <c r="A89" s="52"/>
    </row>
    <row r="90" spans="1:1" x14ac:dyDescent="0.25">
      <c r="A90" s="52"/>
    </row>
    <row r="91" spans="1:1" x14ac:dyDescent="0.25">
      <c r="A91" s="52"/>
    </row>
    <row r="92" spans="1:1" x14ac:dyDescent="0.25">
      <c r="A92" s="52"/>
    </row>
    <row r="93" spans="1:1" x14ac:dyDescent="0.25">
      <c r="A93" s="52"/>
    </row>
    <row r="94" spans="1:1" x14ac:dyDescent="0.25">
      <c r="A94" s="52"/>
    </row>
    <row r="95" spans="1:1" x14ac:dyDescent="0.25">
      <c r="A95" s="52"/>
    </row>
    <row r="96" spans="1:1" x14ac:dyDescent="0.25">
      <c r="A96" s="52"/>
    </row>
    <row r="97" spans="1:1" x14ac:dyDescent="0.25">
      <c r="A97" s="52"/>
    </row>
    <row r="98" spans="1:1" x14ac:dyDescent="0.25">
      <c r="A98" s="52"/>
    </row>
    <row r="99" spans="1:1" x14ac:dyDescent="0.25">
      <c r="A99" s="52"/>
    </row>
    <row r="100" spans="1:1" x14ac:dyDescent="0.25">
      <c r="A100" s="52"/>
    </row>
  </sheetData>
  <sheetProtection algorithmName="SHA-512" hashValue="ajpNtx1Uc3DkxYtfqT3ubD0ai9wmnUIrPoWEIU9yhSObZCrbnniVw60fHGBYX02AZmM5e3Wah8l3JBit/u15SQ==" saltValue="zQ+dleiSOt4abV/MaJnBYA==" spinCount="100000" sheet="1" autoFilter="0"/>
  <phoneticPr fontId="20" type="noConversion"/>
  <pageMargins left="0.75" right="0.75" top="1" bottom="1" header="0.5" footer="0.5"/>
  <pageSetup orientation="portrait" r:id="rId1"/>
  <headerFooter alignWithMargins="0">
    <oddFooter>&amp;L&amp;F &amp;A&amp;C&amp;P of  &amp;N&amp;R&amp;D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F68"/>
  <sheetViews>
    <sheetView zoomScale="120" zoomScaleNormal="120" workbookViewId="0">
      <selection activeCell="C26" sqref="C26"/>
    </sheetView>
  </sheetViews>
  <sheetFormatPr defaultColWidth="8" defaultRowHeight="10.199999999999999" x14ac:dyDescent="0.2"/>
  <cols>
    <col min="1" max="1" width="25.5546875" style="61" customWidth="1"/>
    <col min="2" max="2" width="33.88671875" style="61" customWidth="1"/>
    <col min="3" max="3" width="18" style="69" customWidth="1"/>
    <col min="4" max="4" width="15" style="61" customWidth="1"/>
    <col min="5" max="5" width="11.109375" style="61" customWidth="1"/>
    <col min="6" max="6" width="11.6640625" style="61" customWidth="1"/>
    <col min="7" max="16384" width="8" style="61"/>
  </cols>
  <sheetData>
    <row r="1" spans="1:4" ht="13.2" x14ac:dyDescent="0.25">
      <c r="B1" s="73" t="s">
        <v>337</v>
      </c>
      <c r="C1" s="62" t="s">
        <v>338</v>
      </c>
    </row>
    <row r="2" spans="1:4" ht="13.8" x14ac:dyDescent="0.3">
      <c r="A2" s="63" t="s">
        <v>339</v>
      </c>
      <c r="B2" s="64"/>
      <c r="C2" s="65" t="s">
        <v>340</v>
      </c>
    </row>
    <row r="3" spans="1:4" ht="13.2" x14ac:dyDescent="0.25">
      <c r="A3" s="66" t="s">
        <v>341</v>
      </c>
      <c r="B3" s="66" t="s">
        <v>342</v>
      </c>
      <c r="C3" s="67" t="s">
        <v>343</v>
      </c>
      <c r="D3" s="73" t="s">
        <v>344</v>
      </c>
    </row>
    <row r="4" spans="1:4" ht="12" customHeight="1" x14ac:dyDescent="0.2">
      <c r="A4" s="73" t="s">
        <v>345</v>
      </c>
      <c r="C4" s="68"/>
      <c r="D4" s="73" t="s">
        <v>346</v>
      </c>
    </row>
    <row r="5" spans="1:4" x14ac:dyDescent="0.2">
      <c r="A5" s="73" t="s">
        <v>19</v>
      </c>
      <c r="B5" s="61" t="s">
        <v>347</v>
      </c>
      <c r="C5" s="61">
        <v>17441132</v>
      </c>
      <c r="D5" s="73" t="s">
        <v>287</v>
      </c>
    </row>
    <row r="6" spans="1:4" x14ac:dyDescent="0.2">
      <c r="A6" s="73" t="s">
        <v>348</v>
      </c>
      <c r="B6" s="61" t="s">
        <v>349</v>
      </c>
      <c r="C6" s="61">
        <v>4924755</v>
      </c>
      <c r="D6" s="73" t="s">
        <v>287</v>
      </c>
    </row>
    <row r="7" spans="1:4" x14ac:dyDescent="0.2">
      <c r="A7" s="73" t="s">
        <v>350</v>
      </c>
      <c r="B7" s="61" t="s">
        <v>351</v>
      </c>
      <c r="C7" s="61">
        <v>16894404</v>
      </c>
      <c r="D7" s="73" t="s">
        <v>287</v>
      </c>
    </row>
    <row r="8" spans="1:4" x14ac:dyDescent="0.2">
      <c r="A8" s="73" t="s">
        <v>352</v>
      </c>
      <c r="B8" s="61" t="s">
        <v>353</v>
      </c>
      <c r="C8" s="61">
        <v>0</v>
      </c>
      <c r="D8" s="73" t="s">
        <v>287</v>
      </c>
    </row>
    <row r="9" spans="1:4" x14ac:dyDescent="0.2">
      <c r="A9" s="73" t="s">
        <v>354</v>
      </c>
      <c r="B9" s="61" t="s">
        <v>355</v>
      </c>
      <c r="C9" s="61">
        <v>1645971</v>
      </c>
      <c r="D9" s="73" t="s">
        <v>287</v>
      </c>
    </row>
    <row r="10" spans="1:4" x14ac:dyDescent="0.2">
      <c r="A10" s="73" t="s">
        <v>356</v>
      </c>
      <c r="B10" s="61" t="s">
        <v>357</v>
      </c>
      <c r="C10" s="61">
        <v>18220446</v>
      </c>
      <c r="D10" s="73" t="s">
        <v>287</v>
      </c>
    </row>
    <row r="11" spans="1:4" x14ac:dyDescent="0.2">
      <c r="A11" s="73" t="s">
        <v>358</v>
      </c>
      <c r="B11" s="61" t="s">
        <v>359</v>
      </c>
      <c r="C11" s="61">
        <v>7872655</v>
      </c>
      <c r="D11" s="73" t="s">
        <v>287</v>
      </c>
    </row>
    <row r="12" spans="1:4" x14ac:dyDescent="0.2">
      <c r="A12" s="73" t="s">
        <v>360</v>
      </c>
      <c r="B12" s="61" t="s">
        <v>361</v>
      </c>
      <c r="C12" s="61">
        <v>28913960</v>
      </c>
      <c r="D12" s="73" t="s">
        <v>287</v>
      </c>
    </row>
    <row r="13" spans="1:4" x14ac:dyDescent="0.2">
      <c r="A13" s="73" t="s">
        <v>362</v>
      </c>
      <c r="B13" s="61" t="s">
        <v>363</v>
      </c>
      <c r="C13" s="61">
        <v>29127627</v>
      </c>
      <c r="D13" s="73" t="s">
        <v>287</v>
      </c>
    </row>
    <row r="14" spans="1:4" x14ac:dyDescent="0.2">
      <c r="A14" s="73" t="s">
        <v>364</v>
      </c>
      <c r="B14" s="61" t="s">
        <v>365</v>
      </c>
      <c r="C14" s="61">
        <v>7746589</v>
      </c>
      <c r="D14" s="73" t="s">
        <v>287</v>
      </c>
    </row>
    <row r="15" spans="1:4" x14ac:dyDescent="0.2">
      <c r="A15" s="73" t="s">
        <v>366</v>
      </c>
      <c r="B15" s="61" t="s">
        <v>367</v>
      </c>
      <c r="C15" s="61">
        <v>10327022</v>
      </c>
      <c r="D15" s="73" t="s">
        <v>287</v>
      </c>
    </row>
    <row r="16" spans="1:4" x14ac:dyDescent="0.2">
      <c r="A16" s="73" t="s">
        <v>368</v>
      </c>
      <c r="B16" s="61" t="s">
        <v>369</v>
      </c>
      <c r="C16" s="61">
        <v>14635680</v>
      </c>
      <c r="D16" s="73" t="s">
        <v>287</v>
      </c>
    </row>
    <row r="17" spans="1:4" x14ac:dyDescent="0.2">
      <c r="A17" s="73" t="s">
        <v>370</v>
      </c>
      <c r="B17" s="61" t="s">
        <v>371</v>
      </c>
      <c r="C17" s="61">
        <v>98194739</v>
      </c>
      <c r="D17" s="73" t="s">
        <v>287</v>
      </c>
    </row>
    <row r="18" spans="1:4" x14ac:dyDescent="0.2">
      <c r="A18" s="73" t="s">
        <v>372</v>
      </c>
      <c r="B18" s="61" t="s">
        <v>373</v>
      </c>
      <c r="C18" s="61">
        <v>3535425</v>
      </c>
      <c r="D18" s="73" t="s">
        <v>287</v>
      </c>
    </row>
    <row r="19" spans="1:4" x14ac:dyDescent="0.2">
      <c r="A19" s="73" t="s">
        <v>374</v>
      </c>
      <c r="B19" s="61" t="s">
        <v>375</v>
      </c>
      <c r="C19" s="61">
        <v>0</v>
      </c>
      <c r="D19" s="73" t="s">
        <v>287</v>
      </c>
    </row>
    <row r="20" spans="1:4" x14ac:dyDescent="0.2">
      <c r="A20" s="73" t="s">
        <v>376</v>
      </c>
      <c r="B20" s="61" t="s">
        <v>377</v>
      </c>
      <c r="C20" s="61">
        <v>11370359</v>
      </c>
      <c r="D20" s="73" t="s">
        <v>287</v>
      </c>
    </row>
    <row r="21" spans="1:4" x14ac:dyDescent="0.2">
      <c r="A21" s="73" t="s">
        <v>378</v>
      </c>
      <c r="B21" s="61" t="s">
        <v>379</v>
      </c>
      <c r="C21" s="61">
        <v>0</v>
      </c>
      <c r="D21" s="73" t="s">
        <v>287</v>
      </c>
    </row>
    <row r="22" spans="1:4" x14ac:dyDescent="0.2">
      <c r="A22" s="73" t="s">
        <v>380</v>
      </c>
      <c r="B22" s="73" t="s">
        <v>381</v>
      </c>
      <c r="C22" s="61">
        <v>29314785</v>
      </c>
      <c r="D22" s="73" t="s">
        <v>287</v>
      </c>
    </row>
    <row r="23" spans="1:4" x14ac:dyDescent="0.2">
      <c r="A23" s="73" t="s">
        <v>382</v>
      </c>
      <c r="B23" s="61" t="s">
        <v>383</v>
      </c>
      <c r="C23" s="61">
        <v>21086177.649999999</v>
      </c>
      <c r="D23" s="73" t="s">
        <v>287</v>
      </c>
    </row>
    <row r="24" spans="1:4" x14ac:dyDescent="0.2">
      <c r="A24" s="73" t="s">
        <v>384</v>
      </c>
      <c r="B24" s="61" t="s">
        <v>385</v>
      </c>
      <c r="C24" s="61">
        <v>3938370</v>
      </c>
      <c r="D24" s="73" t="s">
        <v>287</v>
      </c>
    </row>
    <row r="25" spans="1:4" x14ac:dyDescent="0.2">
      <c r="A25" s="73" t="s">
        <v>386</v>
      </c>
      <c r="B25" s="61" t="s">
        <v>387</v>
      </c>
      <c r="C25" s="61">
        <v>0</v>
      </c>
      <c r="D25" s="73" t="s">
        <v>287</v>
      </c>
    </row>
    <row r="26" spans="1:4" x14ac:dyDescent="0.2">
      <c r="A26" s="73" t="s">
        <v>388</v>
      </c>
      <c r="B26" s="61" t="s">
        <v>389</v>
      </c>
      <c r="C26" s="61">
        <v>15602058</v>
      </c>
      <c r="D26" s="73" t="s">
        <v>287</v>
      </c>
    </row>
    <row r="27" spans="1:4" x14ac:dyDescent="0.2">
      <c r="A27" s="73" t="s">
        <v>390</v>
      </c>
      <c r="B27" s="61" t="s">
        <v>391</v>
      </c>
      <c r="C27" s="61">
        <v>24940</v>
      </c>
      <c r="D27" s="73" t="s">
        <v>287</v>
      </c>
    </row>
    <row r="28" spans="1:4" x14ac:dyDescent="0.2">
      <c r="A28" s="73" t="s">
        <v>392</v>
      </c>
      <c r="B28" s="61" t="s">
        <v>393</v>
      </c>
      <c r="C28" s="61">
        <v>19563124</v>
      </c>
      <c r="D28" s="73" t="s">
        <v>287</v>
      </c>
    </row>
    <row r="29" spans="1:4" x14ac:dyDescent="0.2">
      <c r="A29" s="73" t="s">
        <v>394</v>
      </c>
      <c r="B29" s="61" t="s">
        <v>395</v>
      </c>
      <c r="C29" s="61">
        <v>0</v>
      </c>
      <c r="D29" s="73" t="s">
        <v>287</v>
      </c>
    </row>
    <row r="30" spans="1:4" x14ac:dyDescent="0.2">
      <c r="A30" s="73" t="s">
        <v>396</v>
      </c>
      <c r="B30" s="61" t="s">
        <v>397</v>
      </c>
      <c r="C30" s="61">
        <v>0</v>
      </c>
      <c r="D30" s="73" t="s">
        <v>287</v>
      </c>
    </row>
    <row r="31" spans="1:4" x14ac:dyDescent="0.2">
      <c r="A31" s="73" t="s">
        <v>398</v>
      </c>
      <c r="B31" s="61" t="s">
        <v>399</v>
      </c>
      <c r="C31" s="61">
        <v>3965723</v>
      </c>
      <c r="D31" s="73" t="s">
        <v>287</v>
      </c>
    </row>
    <row r="32" spans="1:4" x14ac:dyDescent="0.2">
      <c r="A32" s="73" t="s">
        <v>400</v>
      </c>
      <c r="B32" s="61" t="s">
        <v>401</v>
      </c>
      <c r="C32" s="61">
        <v>2693895</v>
      </c>
      <c r="D32" s="73" t="s">
        <v>287</v>
      </c>
    </row>
    <row r="33" spans="1:4" x14ac:dyDescent="0.2">
      <c r="A33" s="73" t="s">
        <v>402</v>
      </c>
      <c r="B33" s="61" t="s">
        <v>403</v>
      </c>
      <c r="C33" s="61">
        <v>14490899</v>
      </c>
      <c r="D33" s="73" t="s">
        <v>287</v>
      </c>
    </row>
    <row r="34" spans="1:4" x14ac:dyDescent="0.2">
      <c r="A34" s="73" t="s">
        <v>404</v>
      </c>
      <c r="B34" s="61" t="s">
        <v>405</v>
      </c>
      <c r="C34" s="61">
        <v>13948841</v>
      </c>
      <c r="D34" s="73" t="s">
        <v>287</v>
      </c>
    </row>
    <row r="35" spans="1:4" x14ac:dyDescent="0.2">
      <c r="A35" s="73" t="s">
        <v>406</v>
      </c>
      <c r="B35" s="61" t="s">
        <v>407</v>
      </c>
      <c r="C35" s="61">
        <v>465430</v>
      </c>
      <c r="D35" s="73" t="s">
        <v>287</v>
      </c>
    </row>
    <row r="36" spans="1:4" x14ac:dyDescent="0.2">
      <c r="A36" s="73" t="s">
        <v>408</v>
      </c>
      <c r="B36" s="61" t="s">
        <v>409</v>
      </c>
      <c r="C36" s="61">
        <v>13083976</v>
      </c>
      <c r="D36" s="73" t="s">
        <v>287</v>
      </c>
    </row>
    <row r="37" spans="1:4" x14ac:dyDescent="0.2">
      <c r="A37" s="73" t="s">
        <v>410</v>
      </c>
      <c r="B37" s="61" t="s">
        <v>411</v>
      </c>
      <c r="C37" s="61">
        <v>0</v>
      </c>
      <c r="D37" s="73" t="s">
        <v>287</v>
      </c>
    </row>
    <row r="38" spans="1:4" x14ac:dyDescent="0.2">
      <c r="A38" s="73" t="s">
        <v>412</v>
      </c>
      <c r="B38" s="61" t="s">
        <v>413</v>
      </c>
      <c r="C38" s="61">
        <v>0</v>
      </c>
      <c r="D38" s="73" t="s">
        <v>287</v>
      </c>
    </row>
    <row r="39" spans="1:4" x14ac:dyDescent="0.2">
      <c r="A39" s="73" t="s">
        <v>414</v>
      </c>
      <c r="B39" s="61" t="s">
        <v>415</v>
      </c>
      <c r="C39" s="61">
        <v>5021733</v>
      </c>
      <c r="D39" s="73" t="s">
        <v>287</v>
      </c>
    </row>
    <row r="40" spans="1:4" x14ac:dyDescent="0.2">
      <c r="A40" s="73" t="s">
        <v>416</v>
      </c>
      <c r="B40" s="61" t="s">
        <v>417</v>
      </c>
      <c r="C40" s="61">
        <v>12589511</v>
      </c>
      <c r="D40" s="73" t="s">
        <v>287</v>
      </c>
    </row>
    <row r="41" spans="1:4" x14ac:dyDescent="0.2">
      <c r="A41" s="73" t="s">
        <v>418</v>
      </c>
      <c r="B41" s="61" t="s">
        <v>419</v>
      </c>
      <c r="C41" s="61">
        <v>0</v>
      </c>
      <c r="D41" s="73" t="s">
        <v>287</v>
      </c>
    </row>
    <row r="42" spans="1:4" x14ac:dyDescent="0.2">
      <c r="A42" s="73" t="s">
        <v>420</v>
      </c>
      <c r="B42" s="61" t="s">
        <v>421</v>
      </c>
      <c r="C42" s="61">
        <v>2381418</v>
      </c>
      <c r="D42" s="73" t="s">
        <v>287</v>
      </c>
    </row>
    <row r="43" spans="1:4" x14ac:dyDescent="0.2">
      <c r="A43" s="73" t="s">
        <v>422</v>
      </c>
      <c r="B43" s="61" t="s">
        <v>423</v>
      </c>
      <c r="C43" s="61">
        <v>8895353</v>
      </c>
      <c r="D43" s="73" t="s">
        <v>287</v>
      </c>
    </row>
    <row r="44" spans="1:4" x14ac:dyDescent="0.2">
      <c r="A44" s="73" t="s">
        <v>424</v>
      </c>
      <c r="B44" s="61" t="s">
        <v>425</v>
      </c>
      <c r="C44" s="61">
        <v>15687733</v>
      </c>
      <c r="D44" s="73" t="s">
        <v>287</v>
      </c>
    </row>
    <row r="45" spans="1:4" x14ac:dyDescent="0.2">
      <c r="A45" s="73" t="s">
        <v>426</v>
      </c>
      <c r="B45" s="61" t="s">
        <v>427</v>
      </c>
      <c r="C45" s="61">
        <v>6558496</v>
      </c>
      <c r="D45" s="73" t="s">
        <v>287</v>
      </c>
    </row>
    <row r="46" spans="1:4" x14ac:dyDescent="0.2">
      <c r="A46" s="73" t="s">
        <v>428</v>
      </c>
      <c r="B46" s="61" t="s">
        <v>429</v>
      </c>
      <c r="C46" s="61">
        <v>0</v>
      </c>
      <c r="D46" s="73" t="s">
        <v>287</v>
      </c>
    </row>
    <row r="47" spans="1:4" x14ac:dyDescent="0.2">
      <c r="A47" s="73" t="s">
        <v>430</v>
      </c>
      <c r="B47" s="61" t="s">
        <v>431</v>
      </c>
      <c r="C47" s="61">
        <v>4442503.26</v>
      </c>
      <c r="D47" s="73" t="s">
        <v>287</v>
      </c>
    </row>
    <row r="48" spans="1:4" x14ac:dyDescent="0.2">
      <c r="A48" s="73" t="s">
        <v>432</v>
      </c>
      <c r="B48" s="61" t="s">
        <v>433</v>
      </c>
      <c r="C48" s="61">
        <v>22548969</v>
      </c>
      <c r="D48" s="73" t="s">
        <v>287</v>
      </c>
    </row>
    <row r="49" spans="1:6" x14ac:dyDescent="0.2">
      <c r="A49" s="73" t="s">
        <v>434</v>
      </c>
      <c r="B49" s="61" t="s">
        <v>435</v>
      </c>
      <c r="C49" s="61">
        <v>11125096</v>
      </c>
      <c r="D49" s="73" t="s">
        <v>287</v>
      </c>
    </row>
    <row r="50" spans="1:6" x14ac:dyDescent="0.2">
      <c r="A50" s="73" t="s">
        <v>436</v>
      </c>
      <c r="B50" s="61" t="s">
        <v>437</v>
      </c>
      <c r="C50" s="61">
        <v>5294744</v>
      </c>
      <c r="D50" s="73" t="s">
        <v>287</v>
      </c>
    </row>
    <row r="51" spans="1:6" x14ac:dyDescent="0.2">
      <c r="A51" s="73" t="s">
        <v>438</v>
      </c>
      <c r="B51" s="61" t="s">
        <v>439</v>
      </c>
      <c r="C51" s="61">
        <v>0</v>
      </c>
      <c r="D51" s="73" t="s">
        <v>287</v>
      </c>
    </row>
    <row r="52" spans="1:6" x14ac:dyDescent="0.2">
      <c r="A52" s="73" t="s">
        <v>440</v>
      </c>
      <c r="B52" s="61" t="s">
        <v>441</v>
      </c>
      <c r="C52" s="61">
        <v>9748775</v>
      </c>
      <c r="D52" s="73" t="s">
        <v>442</v>
      </c>
    </row>
    <row r="53" spans="1:6" x14ac:dyDescent="0.2">
      <c r="A53" s="73" t="s">
        <v>443</v>
      </c>
      <c r="B53" s="61" t="s">
        <v>444</v>
      </c>
      <c r="C53" s="61">
        <v>8902283</v>
      </c>
      <c r="D53" s="73" t="s">
        <v>287</v>
      </c>
    </row>
    <row r="54" spans="1:6" x14ac:dyDescent="0.2">
      <c r="A54" s="73" t="s">
        <v>445</v>
      </c>
      <c r="B54" s="61" t="s">
        <v>446</v>
      </c>
      <c r="C54" s="61">
        <v>4869513</v>
      </c>
      <c r="D54" s="73" t="s">
        <v>287</v>
      </c>
    </row>
    <row r="55" spans="1:6" x14ac:dyDescent="0.2">
      <c r="A55" s="73" t="s">
        <v>447</v>
      </c>
      <c r="B55" s="61" t="s">
        <v>448</v>
      </c>
      <c r="C55" s="61">
        <v>18215733</v>
      </c>
      <c r="D55" s="73" t="s">
        <v>287</v>
      </c>
    </row>
    <row r="56" spans="1:6" x14ac:dyDescent="0.2">
      <c r="A56" s="73" t="s">
        <v>449</v>
      </c>
      <c r="B56" s="61" t="s">
        <v>450</v>
      </c>
      <c r="C56" s="61">
        <v>500855</v>
      </c>
      <c r="D56" s="73" t="s">
        <v>287</v>
      </c>
    </row>
    <row r="57" spans="1:6" x14ac:dyDescent="0.2">
      <c r="A57" s="73" t="s">
        <v>451</v>
      </c>
      <c r="B57" s="61" t="s">
        <v>452</v>
      </c>
      <c r="C57" s="61">
        <v>10542625</v>
      </c>
      <c r="D57" s="73" t="s">
        <v>287</v>
      </c>
    </row>
    <row r="58" spans="1:6" x14ac:dyDescent="0.2">
      <c r="A58" s="73" t="s">
        <v>453</v>
      </c>
      <c r="B58" s="61" t="s">
        <v>454</v>
      </c>
      <c r="C58" s="61">
        <v>0</v>
      </c>
      <c r="D58" s="73" t="s">
        <v>287</v>
      </c>
    </row>
    <row r="59" spans="1:6" x14ac:dyDescent="0.2">
      <c r="A59" s="73" t="s">
        <v>455</v>
      </c>
      <c r="B59" s="61" t="s">
        <v>456</v>
      </c>
      <c r="C59" s="61">
        <v>13068826</v>
      </c>
      <c r="D59" s="73" t="s">
        <v>287</v>
      </c>
    </row>
    <row r="60" spans="1:6" x14ac:dyDescent="0.2">
      <c r="A60" s="73" t="s">
        <v>457</v>
      </c>
      <c r="B60" s="61" t="s">
        <v>458</v>
      </c>
      <c r="C60" s="61">
        <v>4419877</v>
      </c>
      <c r="D60" s="73" t="s">
        <v>287</v>
      </c>
    </row>
    <row r="61" spans="1:6" x14ac:dyDescent="0.2">
      <c r="A61" s="73" t="s">
        <v>459</v>
      </c>
      <c r="B61" s="61" t="s">
        <v>460</v>
      </c>
      <c r="C61" s="61">
        <v>14163672</v>
      </c>
      <c r="D61" s="73" t="s">
        <v>287</v>
      </c>
    </row>
    <row r="62" spans="1:6" x14ac:dyDescent="0.2">
      <c r="A62" s="73" t="s">
        <v>461</v>
      </c>
      <c r="B62" s="61" t="s">
        <v>462</v>
      </c>
      <c r="C62" s="61">
        <v>6852877</v>
      </c>
      <c r="D62" s="73" t="s">
        <v>287</v>
      </c>
    </row>
    <row r="63" spans="1:6" ht="13.8" thickBot="1" x14ac:dyDescent="0.3">
      <c r="C63" s="71">
        <f>SUM(C5:C62)</f>
        <v>594859574.90999997</v>
      </c>
      <c r="E63" s="72"/>
      <c r="F63" s="71"/>
    </row>
    <row r="64" spans="1:6" ht="10.8" thickTop="1" x14ac:dyDescent="0.2"/>
    <row r="65" spans="1:6" x14ac:dyDescent="0.2">
      <c r="A65" s="73" t="s">
        <v>463</v>
      </c>
      <c r="B65" s="73"/>
      <c r="C65" s="74"/>
      <c r="D65" s="73"/>
      <c r="E65" s="73"/>
      <c r="F65" s="73"/>
    </row>
    <row r="66" spans="1:6" x14ac:dyDescent="0.2">
      <c r="A66" s="73" t="s">
        <v>464</v>
      </c>
      <c r="B66" s="73"/>
      <c r="C66" s="74"/>
      <c r="D66" s="73"/>
      <c r="E66" s="73"/>
      <c r="F66" s="73"/>
    </row>
    <row r="67" spans="1:6" x14ac:dyDescent="0.2">
      <c r="A67" s="73" t="s">
        <v>465</v>
      </c>
      <c r="B67" s="73"/>
      <c r="C67" s="74"/>
      <c r="D67" s="73"/>
      <c r="E67" s="73"/>
      <c r="F67" s="73"/>
    </row>
    <row r="68" spans="1:6" x14ac:dyDescent="0.2">
      <c r="A68" s="73" t="s">
        <v>466</v>
      </c>
      <c r="B68" s="73"/>
      <c r="C68" s="74"/>
      <c r="D68" s="73"/>
      <c r="E68" s="73"/>
      <c r="F68" s="73"/>
    </row>
  </sheetData>
  <sheetProtection algorithmName="SHA-512" hashValue="2DdIKZz1LUZX9lKGQLV56Z32QAs/qnNWtbcYUS8oaXz7FQlNRyhweT3Z1yrVjznihRJ4gYxCZfC0qBJ1Nmw1Hg==" saltValue="75rUtgvPCOs91+c5Aw4D1Q==" spinCount="100000" sheet="1" autoFilter="0"/>
  <phoneticPr fontId="20" type="noConversion"/>
  <pageMargins left="0.5" right="0.5" top="0.25" bottom="0.25" header="0" footer="0"/>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L52"/>
  <sheetViews>
    <sheetView zoomScale="110" zoomScaleNormal="110" workbookViewId="0">
      <pane xSplit="3" ySplit="6" topLeftCell="D14" activePane="bottomRight" state="frozen"/>
      <selection pane="topRight" activeCell="A22" sqref="A22"/>
      <selection pane="bottomLeft" activeCell="A22" sqref="A22"/>
      <selection pane="bottomRight" activeCell="G25" sqref="G25"/>
    </sheetView>
  </sheetViews>
  <sheetFormatPr defaultRowHeight="13.2" x14ac:dyDescent="0.25"/>
  <cols>
    <col min="1" max="1" width="3.88671875" bestFit="1" customWidth="1"/>
    <col min="2" max="2" width="7.6640625" customWidth="1"/>
    <col min="3" max="3" width="45.33203125" customWidth="1"/>
    <col min="4" max="4" width="2.6640625" customWidth="1"/>
    <col min="7" max="7" width="10.109375" bestFit="1" customWidth="1"/>
    <col min="8" max="8" width="7.109375" bestFit="1" customWidth="1"/>
    <col min="9" max="9" width="8.44140625" bestFit="1" customWidth="1"/>
    <col min="13" max="13" width="9.109375" customWidth="1"/>
    <col min="17" max="17" width="9.88671875" bestFit="1" customWidth="1"/>
    <col min="19" max="19" width="7.109375" bestFit="1" customWidth="1"/>
    <col min="20" max="20" width="7.6640625" bestFit="1" customWidth="1"/>
    <col min="21" max="21" width="7.109375" bestFit="1" customWidth="1"/>
    <col min="23" max="23" width="10.109375" bestFit="1" customWidth="1"/>
    <col min="25" max="25" width="8.33203125" bestFit="1" customWidth="1"/>
    <col min="28" max="28" width="10.44140625" customWidth="1"/>
    <col min="29" max="30" width="7.109375" bestFit="1" customWidth="1"/>
    <col min="32" max="32" width="10" bestFit="1" customWidth="1"/>
    <col min="35" max="35" width="8" bestFit="1" customWidth="1"/>
    <col min="37" max="37" width="7.33203125" bestFit="1" customWidth="1"/>
    <col min="38" max="38" width="7.109375" bestFit="1" customWidth="1"/>
    <col min="39" max="39" width="9.33203125" bestFit="1" customWidth="1"/>
    <col min="40" max="41" width="7.109375" bestFit="1" customWidth="1"/>
    <col min="42" max="42" width="8" bestFit="1" customWidth="1"/>
    <col min="46" max="46" width="7.109375" bestFit="1" customWidth="1"/>
    <col min="47" max="47" width="9.44140625" bestFit="1" customWidth="1"/>
    <col min="48" max="48" width="9.88671875" bestFit="1" customWidth="1"/>
    <col min="49" max="49" width="7.109375" bestFit="1" customWidth="1"/>
    <col min="51" max="51" width="7.109375" bestFit="1" customWidth="1"/>
    <col min="56" max="56" width="7.88671875" bestFit="1" customWidth="1"/>
    <col min="58" max="58" width="7.109375" bestFit="1" customWidth="1"/>
    <col min="60" max="60" width="9.44140625" bestFit="1" customWidth="1"/>
    <col min="63" max="63" width="4.33203125" customWidth="1"/>
    <col min="64" max="64" width="10.5546875" bestFit="1" customWidth="1"/>
  </cols>
  <sheetData>
    <row r="1" spans="1:64" x14ac:dyDescent="0.25">
      <c r="A1" s="148" t="s">
        <v>467</v>
      </c>
      <c r="B1" s="77"/>
      <c r="C1" s="78" t="s">
        <v>468</v>
      </c>
      <c r="D1" s="79"/>
      <c r="E1" s="73" t="s">
        <v>19</v>
      </c>
      <c r="F1" s="73" t="s">
        <v>348</v>
      </c>
      <c r="G1" s="73" t="s">
        <v>350</v>
      </c>
      <c r="H1" s="73" t="s">
        <v>352</v>
      </c>
      <c r="I1" s="73" t="s">
        <v>354</v>
      </c>
      <c r="J1" s="73" t="s">
        <v>356</v>
      </c>
      <c r="K1" s="73" t="s">
        <v>358</v>
      </c>
      <c r="L1" s="73" t="s">
        <v>360</v>
      </c>
      <c r="M1" s="73" t="s">
        <v>362</v>
      </c>
      <c r="N1" s="73" t="s">
        <v>364</v>
      </c>
      <c r="O1" s="73" t="s">
        <v>366</v>
      </c>
      <c r="P1" s="73" t="s">
        <v>368</v>
      </c>
      <c r="Q1" s="73" t="s">
        <v>370</v>
      </c>
      <c r="R1" s="73" t="s">
        <v>372</v>
      </c>
      <c r="S1" s="73" t="s">
        <v>374</v>
      </c>
      <c r="T1" s="73" t="s">
        <v>376</v>
      </c>
      <c r="U1" s="73" t="s">
        <v>378</v>
      </c>
      <c r="V1" s="73" t="s">
        <v>380</v>
      </c>
      <c r="W1" s="73" t="s">
        <v>382</v>
      </c>
      <c r="X1" s="73" t="s">
        <v>384</v>
      </c>
      <c r="Y1" s="73" t="s">
        <v>386</v>
      </c>
      <c r="Z1" s="73" t="s">
        <v>388</v>
      </c>
      <c r="AA1" s="73" t="s">
        <v>390</v>
      </c>
      <c r="AB1" s="73" t="s">
        <v>392</v>
      </c>
      <c r="AC1" s="73" t="s">
        <v>394</v>
      </c>
      <c r="AD1" s="73" t="s">
        <v>396</v>
      </c>
      <c r="AE1" s="73" t="s">
        <v>398</v>
      </c>
      <c r="AF1" s="73" t="s">
        <v>400</v>
      </c>
      <c r="AG1" s="73" t="s">
        <v>402</v>
      </c>
      <c r="AH1" s="73" t="s">
        <v>404</v>
      </c>
      <c r="AI1" s="73" t="s">
        <v>406</v>
      </c>
      <c r="AJ1" s="73" t="s">
        <v>408</v>
      </c>
      <c r="AK1" s="73" t="s">
        <v>410</v>
      </c>
      <c r="AL1" s="73" t="s">
        <v>412</v>
      </c>
      <c r="AM1" s="73" t="s">
        <v>414</v>
      </c>
      <c r="AN1" s="73" t="s">
        <v>416</v>
      </c>
      <c r="AO1" s="73" t="s">
        <v>418</v>
      </c>
      <c r="AP1" s="73" t="s">
        <v>420</v>
      </c>
      <c r="AQ1" s="73" t="s">
        <v>422</v>
      </c>
      <c r="AR1" s="73" t="s">
        <v>424</v>
      </c>
      <c r="AS1" s="73" t="s">
        <v>426</v>
      </c>
      <c r="AT1" s="73" t="s">
        <v>428</v>
      </c>
      <c r="AU1" s="73" t="s">
        <v>430</v>
      </c>
      <c r="AV1" s="73" t="s">
        <v>432</v>
      </c>
      <c r="AW1" s="73" t="s">
        <v>434</v>
      </c>
      <c r="AX1" s="73" t="s">
        <v>436</v>
      </c>
      <c r="AY1" s="73" t="s">
        <v>438</v>
      </c>
      <c r="AZ1" s="73" t="s">
        <v>440</v>
      </c>
      <c r="BA1" s="73" t="s">
        <v>443</v>
      </c>
      <c r="BB1" s="73" t="s">
        <v>445</v>
      </c>
      <c r="BC1" s="73" t="s">
        <v>447</v>
      </c>
      <c r="BD1" s="73" t="s">
        <v>449</v>
      </c>
      <c r="BE1" s="73" t="s">
        <v>451</v>
      </c>
      <c r="BF1" s="73" t="s">
        <v>453</v>
      </c>
      <c r="BG1" s="73" t="s">
        <v>455</v>
      </c>
      <c r="BH1" s="73" t="s">
        <v>457</v>
      </c>
      <c r="BI1" s="73" t="s">
        <v>459</v>
      </c>
      <c r="BJ1" s="73" t="s">
        <v>461</v>
      </c>
      <c r="BK1" s="77"/>
      <c r="BL1" s="80"/>
    </row>
    <row r="2" spans="1:64" x14ac:dyDescent="0.25">
      <c r="A2" s="76"/>
      <c r="B2" s="79"/>
      <c r="C2" s="81" t="s">
        <v>469</v>
      </c>
      <c r="D2" s="79"/>
      <c r="E2" s="78" t="s">
        <v>470</v>
      </c>
      <c r="F2" s="78" t="s">
        <v>471</v>
      </c>
      <c r="G2" s="78" t="s">
        <v>472</v>
      </c>
      <c r="H2" s="78" t="s">
        <v>473</v>
      </c>
      <c r="I2" s="78" t="s">
        <v>474</v>
      </c>
      <c r="J2" s="78" t="s">
        <v>475</v>
      </c>
      <c r="K2" s="78" t="s">
        <v>476</v>
      </c>
      <c r="L2" s="78" t="s">
        <v>477</v>
      </c>
      <c r="M2" s="78" t="s">
        <v>478</v>
      </c>
      <c r="N2" s="78" t="s">
        <v>479</v>
      </c>
      <c r="O2" s="78" t="s">
        <v>480</v>
      </c>
      <c r="P2" s="78" t="s">
        <v>481</v>
      </c>
      <c r="Q2" s="78" t="s">
        <v>482</v>
      </c>
      <c r="R2" s="78" t="s">
        <v>483</v>
      </c>
      <c r="S2" s="78" t="s">
        <v>484</v>
      </c>
      <c r="T2" s="78" t="s">
        <v>485</v>
      </c>
      <c r="U2" s="78" t="s">
        <v>486</v>
      </c>
      <c r="V2" s="78" t="s">
        <v>487</v>
      </c>
      <c r="W2" s="78" t="s">
        <v>488</v>
      </c>
      <c r="X2" s="78" t="s">
        <v>489</v>
      </c>
      <c r="Y2" s="78" t="s">
        <v>490</v>
      </c>
      <c r="Z2" s="78" t="s">
        <v>491</v>
      </c>
      <c r="AA2" s="78" t="s">
        <v>492</v>
      </c>
      <c r="AB2" s="78" t="s">
        <v>493</v>
      </c>
      <c r="AC2" s="78" t="s">
        <v>494</v>
      </c>
      <c r="AD2" s="78" t="s">
        <v>495</v>
      </c>
      <c r="AE2" s="78" t="s">
        <v>496</v>
      </c>
      <c r="AF2" s="78" t="s">
        <v>497</v>
      </c>
      <c r="AG2" s="78" t="s">
        <v>498</v>
      </c>
      <c r="AH2" s="78" t="s">
        <v>499</v>
      </c>
      <c r="AI2" s="78" t="s">
        <v>500</v>
      </c>
      <c r="AJ2" s="78" t="s">
        <v>501</v>
      </c>
      <c r="AK2" s="78" t="s">
        <v>502</v>
      </c>
      <c r="AL2" s="78" t="s">
        <v>503</v>
      </c>
      <c r="AM2" s="78" t="s">
        <v>504</v>
      </c>
      <c r="AN2" s="78" t="s">
        <v>505</v>
      </c>
      <c r="AO2" s="78" t="s">
        <v>506</v>
      </c>
      <c r="AP2" s="78" t="s">
        <v>507</v>
      </c>
      <c r="AQ2" s="78" t="s">
        <v>508</v>
      </c>
      <c r="AR2" s="78" t="s">
        <v>509</v>
      </c>
      <c r="AS2" s="78" t="s">
        <v>510</v>
      </c>
      <c r="AT2" s="78" t="s">
        <v>511</v>
      </c>
      <c r="AU2" s="78" t="s">
        <v>512</v>
      </c>
      <c r="AV2" s="78" t="s">
        <v>513</v>
      </c>
      <c r="AW2" s="78" t="s">
        <v>514</v>
      </c>
      <c r="AX2" s="78" t="s">
        <v>515</v>
      </c>
      <c r="AY2" s="78" t="s">
        <v>516</v>
      </c>
      <c r="AZ2" s="78" t="s">
        <v>517</v>
      </c>
      <c r="BA2" s="78" t="s">
        <v>518</v>
      </c>
      <c r="BB2" s="78" t="s">
        <v>519</v>
      </c>
      <c r="BC2" s="78" t="s">
        <v>520</v>
      </c>
      <c r="BD2" s="78" t="s">
        <v>521</v>
      </c>
      <c r="BE2" s="78" t="s">
        <v>522</v>
      </c>
      <c r="BF2" s="78" t="s">
        <v>523</v>
      </c>
      <c r="BG2" s="78" t="s">
        <v>524</v>
      </c>
      <c r="BH2" s="78" t="s">
        <v>525</v>
      </c>
      <c r="BI2" s="78" t="s">
        <v>526</v>
      </c>
      <c r="BJ2" s="78" t="s">
        <v>527</v>
      </c>
      <c r="BK2" s="79"/>
      <c r="BL2" s="82"/>
    </row>
    <row r="3" spans="1:64" x14ac:dyDescent="0.25">
      <c r="A3" s="76"/>
      <c r="B3" s="79"/>
      <c r="C3" s="103" t="s">
        <v>528</v>
      </c>
      <c r="D3" s="83"/>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82"/>
    </row>
    <row r="4" spans="1:64" x14ac:dyDescent="0.25">
      <c r="A4" s="76"/>
      <c r="B4" s="79"/>
      <c r="C4" s="84" t="s">
        <v>529</v>
      </c>
      <c r="D4" s="83"/>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82"/>
    </row>
    <row r="5" spans="1:64" x14ac:dyDescent="0.25">
      <c r="A5" s="76"/>
      <c r="B5" s="79"/>
      <c r="C5" s="85" t="s">
        <v>530</v>
      </c>
      <c r="D5" s="83"/>
      <c r="E5" s="79"/>
      <c r="F5" s="79"/>
      <c r="G5" s="79"/>
      <c r="H5" s="79"/>
      <c r="I5" s="79"/>
      <c r="J5" s="79"/>
      <c r="K5" s="79"/>
      <c r="L5" s="79"/>
      <c r="M5" s="79"/>
      <c r="N5" s="79"/>
      <c r="O5" s="79"/>
      <c r="P5" s="79" t="s">
        <v>531</v>
      </c>
      <c r="Q5" s="79" t="s">
        <v>531</v>
      </c>
      <c r="R5" s="79"/>
      <c r="S5" s="79"/>
      <c r="T5" s="79" t="s">
        <v>532</v>
      </c>
      <c r="U5" s="79"/>
      <c r="V5" s="79" t="s">
        <v>533</v>
      </c>
      <c r="W5" s="79"/>
      <c r="X5" s="79"/>
      <c r="Y5" s="79"/>
      <c r="Z5" s="79"/>
      <c r="AA5" s="79"/>
      <c r="AB5" s="79"/>
      <c r="AC5" s="79"/>
      <c r="AD5" s="79"/>
      <c r="AE5" s="79"/>
      <c r="AF5" s="79"/>
      <c r="AG5" s="79"/>
      <c r="AH5" s="79"/>
      <c r="AI5" s="79"/>
      <c r="AJ5" s="79"/>
      <c r="AK5" s="79"/>
      <c r="AL5" s="79"/>
      <c r="AM5" s="79"/>
      <c r="AN5" s="79"/>
      <c r="AO5" s="79"/>
      <c r="AP5" s="79"/>
      <c r="AQ5" s="79"/>
      <c r="AR5" s="79"/>
      <c r="AS5" s="79"/>
      <c r="AT5" s="79" t="s">
        <v>534</v>
      </c>
      <c r="AU5" s="79"/>
      <c r="AV5" s="79"/>
      <c r="AW5" s="79" t="s">
        <v>535</v>
      </c>
      <c r="AX5" s="79"/>
      <c r="AY5" s="79"/>
      <c r="AZ5" s="79"/>
      <c r="BA5" s="79"/>
      <c r="BB5" s="79"/>
      <c r="BC5" s="79"/>
      <c r="BD5" s="79"/>
      <c r="BE5" s="79" t="s">
        <v>536</v>
      </c>
      <c r="BF5" s="79"/>
      <c r="BG5" s="79"/>
      <c r="BH5" s="79"/>
      <c r="BI5" s="79"/>
      <c r="BJ5" s="79"/>
      <c r="BK5" s="79"/>
      <c r="BL5" s="82" t="s">
        <v>537</v>
      </c>
    </row>
    <row r="6" spans="1:64" x14ac:dyDescent="0.25">
      <c r="A6" s="76"/>
      <c r="B6" s="79"/>
      <c r="C6" s="109" t="s">
        <v>223</v>
      </c>
      <c r="D6" s="79"/>
      <c r="E6" s="86" t="s">
        <v>538</v>
      </c>
      <c r="F6" s="86" t="s">
        <v>539</v>
      </c>
      <c r="G6" s="86" t="s">
        <v>540</v>
      </c>
      <c r="H6" s="86" t="s">
        <v>541</v>
      </c>
      <c r="I6" s="86" t="s">
        <v>542</v>
      </c>
      <c r="J6" s="86" t="s">
        <v>543</v>
      </c>
      <c r="K6" s="86" t="s">
        <v>544</v>
      </c>
      <c r="L6" s="86" t="s">
        <v>545</v>
      </c>
      <c r="M6" s="86" t="s">
        <v>546</v>
      </c>
      <c r="N6" s="86" t="s">
        <v>547</v>
      </c>
      <c r="O6" s="86" t="s">
        <v>548</v>
      </c>
      <c r="P6" s="86" t="s">
        <v>549</v>
      </c>
      <c r="Q6" s="86" t="s">
        <v>550</v>
      </c>
      <c r="R6" s="86" t="s">
        <v>551</v>
      </c>
      <c r="S6" s="86" t="s">
        <v>552</v>
      </c>
      <c r="T6" s="86" t="s">
        <v>553</v>
      </c>
      <c r="U6" s="86" t="s">
        <v>554</v>
      </c>
      <c r="V6" s="86" t="s">
        <v>555</v>
      </c>
      <c r="W6" s="86" t="s">
        <v>556</v>
      </c>
      <c r="X6" s="86" t="s">
        <v>557</v>
      </c>
      <c r="Y6" s="86" t="s">
        <v>558</v>
      </c>
      <c r="Z6" s="86" t="s">
        <v>559</v>
      </c>
      <c r="AA6" s="86" t="s">
        <v>560</v>
      </c>
      <c r="AB6" s="86" t="s">
        <v>561</v>
      </c>
      <c r="AC6" s="86" t="s">
        <v>562</v>
      </c>
      <c r="AD6" s="86" t="s">
        <v>563</v>
      </c>
      <c r="AE6" s="86" t="s">
        <v>564</v>
      </c>
      <c r="AF6" s="86" t="s">
        <v>565</v>
      </c>
      <c r="AG6" s="86" t="s">
        <v>566</v>
      </c>
      <c r="AH6" s="86" t="s">
        <v>567</v>
      </c>
      <c r="AI6" s="86" t="s">
        <v>568</v>
      </c>
      <c r="AJ6" s="86" t="s">
        <v>569</v>
      </c>
      <c r="AK6" s="86" t="s">
        <v>570</v>
      </c>
      <c r="AL6" s="86" t="s">
        <v>571</v>
      </c>
      <c r="AM6" s="86" t="s">
        <v>572</v>
      </c>
      <c r="AN6" s="86" t="s">
        <v>573</v>
      </c>
      <c r="AO6" s="86" t="s">
        <v>574</v>
      </c>
      <c r="AP6" s="86" t="s">
        <v>550</v>
      </c>
      <c r="AQ6" s="86" t="s">
        <v>575</v>
      </c>
      <c r="AR6" s="86" t="s">
        <v>576</v>
      </c>
      <c r="AS6" s="86" t="s">
        <v>577</v>
      </c>
      <c r="AT6" s="86" t="s">
        <v>578</v>
      </c>
      <c r="AU6" s="86" t="s">
        <v>579</v>
      </c>
      <c r="AV6" s="86" t="s">
        <v>580</v>
      </c>
      <c r="AW6" s="86" t="s">
        <v>581</v>
      </c>
      <c r="AX6" s="86" t="s">
        <v>582</v>
      </c>
      <c r="AY6" s="86" t="s">
        <v>583</v>
      </c>
      <c r="AZ6" s="86" t="s">
        <v>584</v>
      </c>
      <c r="BA6" s="86" t="s">
        <v>585</v>
      </c>
      <c r="BB6" s="86" t="s">
        <v>586</v>
      </c>
      <c r="BC6" s="86" t="s">
        <v>587</v>
      </c>
      <c r="BD6" s="86" t="s">
        <v>588</v>
      </c>
      <c r="BE6" s="86" t="s">
        <v>589</v>
      </c>
      <c r="BF6" s="86" t="s">
        <v>590</v>
      </c>
      <c r="BG6" s="86" t="s">
        <v>591</v>
      </c>
      <c r="BH6" s="86" t="s">
        <v>592</v>
      </c>
      <c r="BI6" s="86" t="s">
        <v>593</v>
      </c>
      <c r="BJ6" s="86" t="s">
        <v>594</v>
      </c>
      <c r="BK6" s="86"/>
      <c r="BL6" s="87" t="s">
        <v>595</v>
      </c>
    </row>
    <row r="7" spans="1:64" x14ac:dyDescent="0.25">
      <c r="A7" s="76">
        <v>3240</v>
      </c>
      <c r="B7" s="191">
        <v>100</v>
      </c>
      <c r="C7" s="192" t="s">
        <v>48</v>
      </c>
      <c r="D7" s="79"/>
      <c r="E7" s="135">
        <v>2687199</v>
      </c>
      <c r="F7" s="135">
        <v>1629279</v>
      </c>
      <c r="G7" s="135">
        <v>3249144</v>
      </c>
      <c r="H7" s="135">
        <v>0</v>
      </c>
      <c r="I7" s="135">
        <v>413765</v>
      </c>
      <c r="J7" s="135">
        <v>203771</v>
      </c>
      <c r="K7" s="135">
        <v>1664106</v>
      </c>
      <c r="L7" s="135">
        <v>5767555</v>
      </c>
      <c r="M7" s="135">
        <v>5950431</v>
      </c>
      <c r="N7" s="135">
        <v>820414</v>
      </c>
      <c r="O7" s="135">
        <v>3246675</v>
      </c>
      <c r="P7" s="135">
        <v>2463543</v>
      </c>
      <c r="Q7" s="135">
        <v>10095437</v>
      </c>
      <c r="R7" s="135">
        <v>390251</v>
      </c>
      <c r="S7" s="135">
        <v>0</v>
      </c>
      <c r="T7" s="135">
        <v>1220167</v>
      </c>
      <c r="U7" s="135">
        <v>0</v>
      </c>
      <c r="V7" s="135">
        <v>2357675</v>
      </c>
      <c r="W7" s="135">
        <v>482912.53</v>
      </c>
      <c r="X7" s="135">
        <v>310875</v>
      </c>
      <c r="Y7" s="135">
        <v>0</v>
      </c>
      <c r="Z7" s="135">
        <v>3452179</v>
      </c>
      <c r="AA7" s="135">
        <v>12115</v>
      </c>
      <c r="AB7" s="135">
        <v>140793</v>
      </c>
      <c r="AC7" s="135">
        <v>0</v>
      </c>
      <c r="AD7" s="135">
        <v>0</v>
      </c>
      <c r="AE7" s="135">
        <v>548568</v>
      </c>
      <c r="AF7" s="135">
        <v>638239</v>
      </c>
      <c r="AG7" s="135">
        <v>2860470</v>
      </c>
      <c r="AH7" s="135">
        <v>1174173</v>
      </c>
      <c r="AI7" s="135">
        <v>381394</v>
      </c>
      <c r="AJ7" s="135">
        <v>6503829</v>
      </c>
      <c r="AK7" s="135">
        <v>0</v>
      </c>
      <c r="AL7" s="135">
        <v>0</v>
      </c>
      <c r="AM7" s="135">
        <v>420666</v>
      </c>
      <c r="AN7" s="135">
        <v>234286</v>
      </c>
      <c r="AO7" s="135">
        <v>0</v>
      </c>
      <c r="AP7" s="135">
        <v>307610</v>
      </c>
      <c r="AQ7" s="135">
        <v>1470499</v>
      </c>
      <c r="AR7" s="135">
        <v>1084088</v>
      </c>
      <c r="AS7" s="135">
        <v>1520589</v>
      </c>
      <c r="AT7" s="135">
        <v>0</v>
      </c>
      <c r="AU7" s="135">
        <v>824392.5</v>
      </c>
      <c r="AV7" s="135">
        <v>312546</v>
      </c>
      <c r="AW7" s="135">
        <v>4112242</v>
      </c>
      <c r="AX7" s="135">
        <v>536684</v>
      </c>
      <c r="AY7" s="135">
        <v>0</v>
      </c>
      <c r="AZ7" s="135">
        <v>105758</v>
      </c>
      <c r="BA7" s="135">
        <v>838745</v>
      </c>
      <c r="BB7" s="135">
        <v>267627</v>
      </c>
      <c r="BC7" s="135">
        <v>616007</v>
      </c>
      <c r="BD7" s="135">
        <v>194475</v>
      </c>
      <c r="BE7" s="135">
        <v>534291</v>
      </c>
      <c r="BF7" s="135">
        <v>0</v>
      </c>
      <c r="BG7" s="135">
        <v>3490813</v>
      </c>
      <c r="BH7" s="135">
        <v>148899</v>
      </c>
      <c r="BI7" s="135">
        <v>1322839</v>
      </c>
      <c r="BJ7" s="135">
        <v>351749</v>
      </c>
      <c r="BK7" s="79"/>
      <c r="BL7" s="77">
        <f t="shared" ref="BL7:BL16" si="0">SUM(E7:BK7)</f>
        <v>77359765.030000001</v>
      </c>
    </row>
    <row r="8" spans="1:64" x14ac:dyDescent="0.25">
      <c r="A8" s="76">
        <v>3250</v>
      </c>
      <c r="B8" s="191">
        <v>105</v>
      </c>
      <c r="C8" s="192" t="s">
        <v>50</v>
      </c>
      <c r="D8" s="88"/>
      <c r="E8" s="135">
        <v>188733</v>
      </c>
      <c r="F8" s="135">
        <v>0</v>
      </c>
      <c r="G8" s="135">
        <v>1780922</v>
      </c>
      <c r="H8" s="135">
        <v>0</v>
      </c>
      <c r="I8" s="135">
        <v>16500</v>
      </c>
      <c r="J8" s="135">
        <v>2317481</v>
      </c>
      <c r="K8" s="135">
        <v>176827</v>
      </c>
      <c r="L8" s="135">
        <v>400000</v>
      </c>
      <c r="M8" s="135">
        <v>157994</v>
      </c>
      <c r="N8" s="135">
        <v>891109</v>
      </c>
      <c r="O8" s="135">
        <v>598801</v>
      </c>
      <c r="P8" s="135">
        <v>0</v>
      </c>
      <c r="Q8" s="135">
        <v>7080033</v>
      </c>
      <c r="R8" s="135">
        <v>4060696</v>
      </c>
      <c r="S8" s="135">
        <v>0</v>
      </c>
      <c r="T8" s="135">
        <v>3768820</v>
      </c>
      <c r="U8" s="135">
        <v>0</v>
      </c>
      <c r="V8" s="135">
        <v>5932087</v>
      </c>
      <c r="W8" s="135">
        <v>0</v>
      </c>
      <c r="X8" s="135">
        <v>172512</v>
      </c>
      <c r="Y8" s="135">
        <v>0</v>
      </c>
      <c r="Z8" s="135">
        <v>2876366</v>
      </c>
      <c r="AA8" s="135">
        <v>0</v>
      </c>
      <c r="AB8" s="135">
        <v>13039894</v>
      </c>
      <c r="AC8" s="135">
        <v>0</v>
      </c>
      <c r="AD8" s="135">
        <v>0</v>
      </c>
      <c r="AE8" s="135">
        <v>3417155</v>
      </c>
      <c r="AF8" s="135">
        <v>232882</v>
      </c>
      <c r="AG8" s="135">
        <v>0</v>
      </c>
      <c r="AH8" s="135">
        <v>0</v>
      </c>
      <c r="AI8" s="135">
        <v>0</v>
      </c>
      <c r="AJ8" s="135">
        <v>0</v>
      </c>
      <c r="AK8" s="135">
        <v>0</v>
      </c>
      <c r="AL8" s="135">
        <v>0</v>
      </c>
      <c r="AM8" s="135">
        <v>0</v>
      </c>
      <c r="AN8" s="135">
        <v>113882</v>
      </c>
      <c r="AO8" s="135">
        <v>0</v>
      </c>
      <c r="AP8" s="135">
        <v>0</v>
      </c>
      <c r="AQ8" s="135">
        <v>0</v>
      </c>
      <c r="AR8" s="135">
        <v>2137023</v>
      </c>
      <c r="AS8" s="135">
        <v>154730</v>
      </c>
      <c r="AT8" s="135">
        <v>0</v>
      </c>
      <c r="AU8" s="135">
        <v>387373.02</v>
      </c>
      <c r="AV8" s="135">
        <v>9199609</v>
      </c>
      <c r="AW8" s="135">
        <v>4575168</v>
      </c>
      <c r="AX8" s="135">
        <v>762066</v>
      </c>
      <c r="AY8" s="135">
        <v>0</v>
      </c>
      <c r="AZ8" s="135">
        <v>3617469</v>
      </c>
      <c r="BA8" s="135">
        <v>0</v>
      </c>
      <c r="BB8" s="135">
        <v>1694849</v>
      </c>
      <c r="BC8" s="135">
        <v>598699</v>
      </c>
      <c r="BD8" s="135">
        <v>0</v>
      </c>
      <c r="BE8" s="135">
        <v>10008621</v>
      </c>
      <c r="BF8" s="135">
        <v>0</v>
      </c>
      <c r="BG8" s="135">
        <v>1910453</v>
      </c>
      <c r="BH8" s="135">
        <v>0</v>
      </c>
      <c r="BI8" s="135">
        <v>4085813</v>
      </c>
      <c r="BJ8" s="135">
        <v>3519703</v>
      </c>
      <c r="BK8" s="89"/>
      <c r="BL8" s="77">
        <f t="shared" si="0"/>
        <v>89874270.020000011</v>
      </c>
    </row>
    <row r="9" spans="1:64" x14ac:dyDescent="0.25">
      <c r="A9" s="76">
        <v>3270</v>
      </c>
      <c r="B9" s="191">
        <v>110</v>
      </c>
      <c r="C9" s="192" t="s">
        <v>57</v>
      </c>
      <c r="D9" s="88"/>
      <c r="E9" s="135">
        <v>568187</v>
      </c>
      <c r="F9" s="135">
        <v>72701</v>
      </c>
      <c r="G9" s="135">
        <v>2543082</v>
      </c>
      <c r="H9" s="135">
        <v>0</v>
      </c>
      <c r="I9" s="135">
        <v>0</v>
      </c>
      <c r="J9" s="135">
        <v>14061</v>
      </c>
      <c r="K9" s="135">
        <v>259017</v>
      </c>
      <c r="L9" s="135">
        <v>15568</v>
      </c>
      <c r="M9" s="135">
        <v>210399</v>
      </c>
      <c r="N9" s="135">
        <v>167561</v>
      </c>
      <c r="O9" s="135">
        <v>227892</v>
      </c>
      <c r="P9" s="135">
        <v>7943</v>
      </c>
      <c r="Q9" s="135">
        <v>16398373</v>
      </c>
      <c r="R9" s="135">
        <v>74783</v>
      </c>
      <c r="S9" s="135">
        <v>0</v>
      </c>
      <c r="T9" s="135">
        <v>261062</v>
      </c>
      <c r="U9" s="135">
        <v>0</v>
      </c>
      <c r="V9" s="135">
        <v>133000</v>
      </c>
      <c r="W9" s="135">
        <v>4985236.57</v>
      </c>
      <c r="X9" s="135">
        <v>957289</v>
      </c>
      <c r="Y9" s="135">
        <v>0</v>
      </c>
      <c r="Z9" s="135">
        <v>14194</v>
      </c>
      <c r="AA9" s="135">
        <v>0</v>
      </c>
      <c r="AB9" s="135">
        <v>225976</v>
      </c>
      <c r="AC9" s="135">
        <v>0</v>
      </c>
      <c r="AD9" s="135">
        <v>0</v>
      </c>
      <c r="AE9" s="135">
        <v>0</v>
      </c>
      <c r="AF9" s="135">
        <v>490</v>
      </c>
      <c r="AG9" s="135">
        <v>618073</v>
      </c>
      <c r="AH9" s="135">
        <v>101992</v>
      </c>
      <c r="AI9" s="135">
        <v>0</v>
      </c>
      <c r="AJ9" s="135">
        <v>2000</v>
      </c>
      <c r="AK9" s="135">
        <v>0</v>
      </c>
      <c r="AL9" s="135">
        <v>0</v>
      </c>
      <c r="AM9" s="135">
        <v>0</v>
      </c>
      <c r="AN9" s="135">
        <v>416012</v>
      </c>
      <c r="AO9" s="135">
        <v>0</v>
      </c>
      <c r="AP9" s="135">
        <v>84043</v>
      </c>
      <c r="AQ9" s="135">
        <v>829611</v>
      </c>
      <c r="AR9" s="135">
        <v>1245</v>
      </c>
      <c r="AS9" s="135">
        <v>375918</v>
      </c>
      <c r="AT9" s="135">
        <v>0</v>
      </c>
      <c r="AU9" s="135">
        <v>0</v>
      </c>
      <c r="AV9" s="135">
        <v>4510</v>
      </c>
      <c r="AW9" s="135">
        <v>12467</v>
      </c>
      <c r="AX9" s="135">
        <v>0</v>
      </c>
      <c r="AY9" s="135">
        <v>0</v>
      </c>
      <c r="AZ9" s="135">
        <v>42183</v>
      </c>
      <c r="BA9" s="135">
        <v>25013</v>
      </c>
      <c r="BB9" s="135">
        <v>750</v>
      </c>
      <c r="BC9" s="135">
        <v>0</v>
      </c>
      <c r="BD9" s="135">
        <v>0</v>
      </c>
      <c r="BE9" s="135">
        <v>1736</v>
      </c>
      <c r="BF9" s="135">
        <v>0</v>
      </c>
      <c r="BG9" s="135">
        <v>672875</v>
      </c>
      <c r="BH9" s="135">
        <v>0</v>
      </c>
      <c r="BI9" s="135">
        <v>289880</v>
      </c>
      <c r="BJ9" s="135">
        <v>2203</v>
      </c>
      <c r="BK9" s="89"/>
      <c r="BL9" s="77">
        <f t="shared" si="0"/>
        <v>30617325.57</v>
      </c>
    </row>
    <row r="10" spans="1:64" x14ac:dyDescent="0.25">
      <c r="A10" s="76">
        <v>3310</v>
      </c>
      <c r="B10" s="191">
        <v>115</v>
      </c>
      <c r="C10" s="192" t="s">
        <v>59</v>
      </c>
      <c r="D10" s="90"/>
      <c r="E10" s="135">
        <v>0</v>
      </c>
      <c r="F10" s="135">
        <v>0</v>
      </c>
      <c r="G10" s="135">
        <v>0</v>
      </c>
      <c r="H10" s="135">
        <v>0</v>
      </c>
      <c r="I10" s="135">
        <v>0</v>
      </c>
      <c r="J10" s="135">
        <v>0</v>
      </c>
      <c r="K10" s="135">
        <v>0</v>
      </c>
      <c r="L10" s="135">
        <v>0</v>
      </c>
      <c r="M10" s="135">
        <v>0</v>
      </c>
      <c r="N10" s="135">
        <v>65007</v>
      </c>
      <c r="O10" s="135">
        <v>0</v>
      </c>
      <c r="P10" s="135">
        <v>0</v>
      </c>
      <c r="Q10" s="135">
        <v>0</v>
      </c>
      <c r="R10" s="135">
        <v>0</v>
      </c>
      <c r="S10" s="135">
        <v>0</v>
      </c>
      <c r="T10" s="135">
        <v>0</v>
      </c>
      <c r="U10" s="135">
        <v>0</v>
      </c>
      <c r="V10" s="135">
        <v>0</v>
      </c>
      <c r="W10" s="135">
        <v>0</v>
      </c>
      <c r="X10" s="135">
        <v>0</v>
      </c>
      <c r="Y10" s="135">
        <v>0</v>
      </c>
      <c r="Z10" s="135">
        <v>0</v>
      </c>
      <c r="AA10" s="135">
        <v>0</v>
      </c>
      <c r="AB10" s="135">
        <v>15833</v>
      </c>
      <c r="AC10" s="135">
        <v>0</v>
      </c>
      <c r="AD10" s="135">
        <v>0</v>
      </c>
      <c r="AE10" s="135">
        <v>0</v>
      </c>
      <c r="AF10" s="135">
        <v>0</v>
      </c>
      <c r="AG10" s="135">
        <v>0</v>
      </c>
      <c r="AH10" s="135">
        <v>19864</v>
      </c>
      <c r="AI10" s="135">
        <v>0</v>
      </c>
      <c r="AJ10" s="135">
        <v>0</v>
      </c>
      <c r="AK10" s="135">
        <v>0</v>
      </c>
      <c r="AL10" s="135">
        <v>0</v>
      </c>
      <c r="AM10" s="135">
        <v>0</v>
      </c>
      <c r="AN10" s="135">
        <v>0</v>
      </c>
      <c r="AO10" s="135">
        <v>0</v>
      </c>
      <c r="AP10" s="135">
        <v>0</v>
      </c>
      <c r="AQ10" s="135">
        <v>0</v>
      </c>
      <c r="AR10" s="135">
        <v>0</v>
      </c>
      <c r="AS10" s="135">
        <v>0</v>
      </c>
      <c r="AT10" s="135">
        <v>0</v>
      </c>
      <c r="AU10" s="135">
        <v>0</v>
      </c>
      <c r="AV10" s="135">
        <v>0</v>
      </c>
      <c r="AW10" s="135">
        <v>0</v>
      </c>
      <c r="AX10" s="135">
        <v>0</v>
      </c>
      <c r="AY10" s="135">
        <v>0</v>
      </c>
      <c r="AZ10" s="135">
        <v>0</v>
      </c>
      <c r="BA10" s="135">
        <v>0</v>
      </c>
      <c r="BB10" s="135">
        <v>0</v>
      </c>
      <c r="BC10" s="135">
        <v>0</v>
      </c>
      <c r="BD10" s="135">
        <v>0</v>
      </c>
      <c r="BE10" s="135">
        <v>0</v>
      </c>
      <c r="BF10" s="135">
        <v>0</v>
      </c>
      <c r="BG10" s="135">
        <v>0</v>
      </c>
      <c r="BH10" s="135">
        <v>0</v>
      </c>
      <c r="BI10" s="135">
        <v>19515</v>
      </c>
      <c r="BJ10" s="135">
        <v>0</v>
      </c>
      <c r="BK10" s="89"/>
      <c r="BL10" s="77">
        <f t="shared" si="0"/>
        <v>120219</v>
      </c>
    </row>
    <row r="11" spans="1:64" x14ac:dyDescent="0.25">
      <c r="A11" s="76">
        <v>3320</v>
      </c>
      <c r="B11" s="191">
        <v>120</v>
      </c>
      <c r="C11" s="192" t="s">
        <v>224</v>
      </c>
      <c r="D11" s="91"/>
      <c r="E11" s="135">
        <v>0</v>
      </c>
      <c r="F11" s="135">
        <v>0</v>
      </c>
      <c r="G11" s="135">
        <v>31057</v>
      </c>
      <c r="H11" s="135">
        <v>0</v>
      </c>
      <c r="I11" s="135">
        <v>0</v>
      </c>
      <c r="J11" s="135">
        <v>0</v>
      </c>
      <c r="K11" s="135">
        <v>0</v>
      </c>
      <c r="L11" s="135">
        <v>0</v>
      </c>
      <c r="M11" s="135">
        <v>15158</v>
      </c>
      <c r="N11" s="135">
        <v>0</v>
      </c>
      <c r="O11" s="135">
        <v>0</v>
      </c>
      <c r="P11" s="135">
        <v>0</v>
      </c>
      <c r="Q11" s="135">
        <v>68022</v>
      </c>
      <c r="R11" s="135">
        <v>0</v>
      </c>
      <c r="S11" s="135">
        <v>0</v>
      </c>
      <c r="T11" s="135">
        <v>0</v>
      </c>
      <c r="U11" s="135">
        <v>0</v>
      </c>
      <c r="V11" s="135">
        <v>0</v>
      </c>
      <c r="W11" s="135">
        <v>0</v>
      </c>
      <c r="X11" s="135">
        <v>0</v>
      </c>
      <c r="Y11" s="135">
        <v>0</v>
      </c>
      <c r="Z11" s="135">
        <v>8554</v>
      </c>
      <c r="AA11" s="135">
        <v>0</v>
      </c>
      <c r="AB11" s="135">
        <v>119</v>
      </c>
      <c r="AC11" s="135">
        <v>0</v>
      </c>
      <c r="AD11" s="135">
        <v>0</v>
      </c>
      <c r="AE11" s="135">
        <v>0</v>
      </c>
      <c r="AF11" s="135">
        <v>0</v>
      </c>
      <c r="AG11" s="135">
        <v>0</v>
      </c>
      <c r="AH11" s="135">
        <v>0</v>
      </c>
      <c r="AI11" s="135">
        <v>1350</v>
      </c>
      <c r="AJ11" s="135">
        <v>0</v>
      </c>
      <c r="AK11" s="135">
        <v>0</v>
      </c>
      <c r="AL11" s="135">
        <v>0</v>
      </c>
      <c r="AM11" s="135">
        <v>0</v>
      </c>
      <c r="AN11" s="135">
        <v>0</v>
      </c>
      <c r="AO11" s="135">
        <v>0</v>
      </c>
      <c r="AP11" s="135">
        <v>0</v>
      </c>
      <c r="AQ11" s="135">
        <v>0</v>
      </c>
      <c r="AR11" s="135">
        <v>0</v>
      </c>
      <c r="AS11" s="135">
        <v>10779</v>
      </c>
      <c r="AT11" s="135">
        <v>0</v>
      </c>
      <c r="AU11" s="135">
        <v>0</v>
      </c>
      <c r="AV11" s="135">
        <v>0</v>
      </c>
      <c r="AW11" s="135">
        <v>0</v>
      </c>
      <c r="AX11" s="135">
        <v>0</v>
      </c>
      <c r="AY11" s="135">
        <v>0</v>
      </c>
      <c r="AZ11" s="135">
        <v>0</v>
      </c>
      <c r="BA11" s="135">
        <v>0</v>
      </c>
      <c r="BB11" s="135">
        <v>0</v>
      </c>
      <c r="BC11" s="135">
        <v>3961</v>
      </c>
      <c r="BD11" s="135">
        <v>0</v>
      </c>
      <c r="BE11" s="135">
        <v>0</v>
      </c>
      <c r="BF11" s="135">
        <v>0</v>
      </c>
      <c r="BG11" s="135">
        <v>0</v>
      </c>
      <c r="BH11" s="135">
        <v>0</v>
      </c>
      <c r="BI11" s="135">
        <v>23272</v>
      </c>
      <c r="BJ11" s="135">
        <v>0</v>
      </c>
      <c r="BK11" s="89"/>
      <c r="BL11" s="77">
        <f t="shared" si="0"/>
        <v>162272</v>
      </c>
    </row>
    <row r="12" spans="1:64" x14ac:dyDescent="0.25">
      <c r="A12" s="76">
        <v>3340</v>
      </c>
      <c r="B12" s="191">
        <v>125</v>
      </c>
      <c r="C12" s="192" t="s">
        <v>225</v>
      </c>
      <c r="D12" s="92"/>
      <c r="E12" s="135">
        <v>0</v>
      </c>
      <c r="F12" s="135">
        <v>0</v>
      </c>
      <c r="G12" s="135">
        <v>0</v>
      </c>
      <c r="H12" s="135">
        <v>0</v>
      </c>
      <c r="I12" s="135">
        <v>0</v>
      </c>
      <c r="J12" s="135">
        <v>0</v>
      </c>
      <c r="K12" s="135">
        <v>0</v>
      </c>
      <c r="L12" s="135">
        <v>0</v>
      </c>
      <c r="M12" s="135">
        <v>0</v>
      </c>
      <c r="N12" s="135">
        <v>0</v>
      </c>
      <c r="O12" s="135">
        <v>0</v>
      </c>
      <c r="P12" s="135">
        <v>0</v>
      </c>
      <c r="Q12" s="135">
        <v>0</v>
      </c>
      <c r="R12" s="135">
        <v>0</v>
      </c>
      <c r="S12" s="135">
        <v>0</v>
      </c>
      <c r="T12" s="135">
        <v>0</v>
      </c>
      <c r="U12" s="135">
        <v>0</v>
      </c>
      <c r="V12" s="135">
        <v>0</v>
      </c>
      <c r="W12" s="135">
        <v>0</v>
      </c>
      <c r="X12" s="135">
        <v>0</v>
      </c>
      <c r="Y12" s="135">
        <v>0</v>
      </c>
      <c r="Z12" s="135">
        <v>0</v>
      </c>
      <c r="AA12" s="135">
        <v>0</v>
      </c>
      <c r="AB12" s="135">
        <v>0</v>
      </c>
      <c r="AC12" s="135">
        <v>0</v>
      </c>
      <c r="AD12" s="135">
        <v>0</v>
      </c>
      <c r="AE12" s="135">
        <v>0</v>
      </c>
      <c r="AF12" s="135">
        <v>0</v>
      </c>
      <c r="AG12" s="135">
        <v>0</v>
      </c>
      <c r="AH12" s="135">
        <v>0</v>
      </c>
      <c r="AI12" s="135">
        <v>0</v>
      </c>
      <c r="AJ12" s="135">
        <v>0</v>
      </c>
      <c r="AK12" s="135">
        <v>0</v>
      </c>
      <c r="AL12" s="135">
        <v>0</v>
      </c>
      <c r="AM12" s="135">
        <v>0</v>
      </c>
      <c r="AN12" s="135">
        <v>0</v>
      </c>
      <c r="AO12" s="135">
        <v>0</v>
      </c>
      <c r="AP12" s="135">
        <v>0</v>
      </c>
      <c r="AQ12" s="135">
        <v>0</v>
      </c>
      <c r="AR12" s="135">
        <v>0</v>
      </c>
      <c r="AS12" s="135">
        <v>0</v>
      </c>
      <c r="AT12" s="135">
        <v>0</v>
      </c>
      <c r="AU12" s="135">
        <v>0</v>
      </c>
      <c r="AV12" s="135">
        <v>0</v>
      </c>
      <c r="AW12" s="135">
        <v>1000000</v>
      </c>
      <c r="AX12" s="135">
        <v>0</v>
      </c>
      <c r="AY12" s="135">
        <v>0</v>
      </c>
      <c r="AZ12" s="135">
        <v>8552</v>
      </c>
      <c r="BA12" s="135">
        <v>0</v>
      </c>
      <c r="BB12" s="135">
        <v>0</v>
      </c>
      <c r="BC12" s="135">
        <v>0</v>
      </c>
      <c r="BD12" s="135">
        <v>0</v>
      </c>
      <c r="BE12" s="135">
        <v>0</v>
      </c>
      <c r="BF12" s="135">
        <v>0</v>
      </c>
      <c r="BG12" s="135">
        <v>0</v>
      </c>
      <c r="BH12" s="135">
        <v>10463</v>
      </c>
      <c r="BI12" s="135">
        <v>0</v>
      </c>
      <c r="BJ12" s="135">
        <v>0</v>
      </c>
      <c r="BK12" s="89"/>
      <c r="BL12" s="77">
        <f t="shared" si="0"/>
        <v>1019015</v>
      </c>
    </row>
    <row r="13" spans="1:64" x14ac:dyDescent="0.25">
      <c r="A13" s="76"/>
      <c r="B13" s="191">
        <v>126</v>
      </c>
      <c r="C13" s="192" t="s">
        <v>596</v>
      </c>
      <c r="D13" s="92"/>
      <c r="E13" s="135">
        <v>0</v>
      </c>
      <c r="F13" s="135">
        <v>0</v>
      </c>
      <c r="G13" s="135">
        <v>0</v>
      </c>
      <c r="H13" s="135">
        <v>0</v>
      </c>
      <c r="I13" s="135">
        <v>0</v>
      </c>
      <c r="J13" s="135">
        <v>0</v>
      </c>
      <c r="K13" s="135">
        <v>0</v>
      </c>
      <c r="L13" s="135">
        <v>0</v>
      </c>
      <c r="M13" s="135">
        <v>0</v>
      </c>
      <c r="N13" s="135">
        <v>0</v>
      </c>
      <c r="O13" s="135">
        <v>0</v>
      </c>
      <c r="P13" s="135">
        <v>0</v>
      </c>
      <c r="Q13" s="135">
        <v>0</v>
      </c>
      <c r="R13" s="135">
        <v>0</v>
      </c>
      <c r="S13" s="135">
        <v>0</v>
      </c>
      <c r="T13" s="135">
        <v>0</v>
      </c>
      <c r="U13" s="135">
        <v>0</v>
      </c>
      <c r="V13" s="135">
        <v>0</v>
      </c>
      <c r="W13" s="135">
        <v>0</v>
      </c>
      <c r="X13" s="135">
        <v>0</v>
      </c>
      <c r="Y13" s="135">
        <v>0</v>
      </c>
      <c r="Z13" s="135">
        <v>0</v>
      </c>
      <c r="AA13" s="135">
        <v>0</v>
      </c>
      <c r="AB13" s="135">
        <v>0</v>
      </c>
      <c r="AC13" s="135">
        <v>0</v>
      </c>
      <c r="AD13" s="135">
        <v>0</v>
      </c>
      <c r="AE13" s="135">
        <v>0</v>
      </c>
      <c r="AF13" s="135">
        <v>0</v>
      </c>
      <c r="AG13" s="135">
        <v>0</v>
      </c>
      <c r="AH13" s="135">
        <v>0</v>
      </c>
      <c r="AI13" s="135">
        <v>0</v>
      </c>
      <c r="AJ13" s="135">
        <v>0</v>
      </c>
      <c r="AK13" s="135">
        <v>0</v>
      </c>
      <c r="AL13" s="135">
        <v>0</v>
      </c>
      <c r="AM13" s="135">
        <v>0</v>
      </c>
      <c r="AN13" s="135">
        <v>0</v>
      </c>
      <c r="AO13" s="135">
        <v>0</v>
      </c>
      <c r="AP13" s="135">
        <v>0</v>
      </c>
      <c r="AQ13" s="135">
        <v>0</v>
      </c>
      <c r="AR13" s="135">
        <v>0</v>
      </c>
      <c r="AS13" s="135">
        <v>0</v>
      </c>
      <c r="AT13" s="135">
        <v>0</v>
      </c>
      <c r="AU13" s="135">
        <v>0</v>
      </c>
      <c r="AV13" s="135">
        <v>0</v>
      </c>
      <c r="AW13" s="135">
        <v>0</v>
      </c>
      <c r="AX13" s="135">
        <v>0</v>
      </c>
      <c r="AY13" s="135">
        <v>0</v>
      </c>
      <c r="AZ13" s="135">
        <v>0</v>
      </c>
      <c r="BA13" s="135">
        <v>0</v>
      </c>
      <c r="BB13" s="135">
        <v>0</v>
      </c>
      <c r="BC13" s="135">
        <v>0</v>
      </c>
      <c r="BD13" s="135">
        <v>0</v>
      </c>
      <c r="BE13" s="135">
        <v>0</v>
      </c>
      <c r="BF13" s="135">
        <v>0</v>
      </c>
      <c r="BG13" s="135">
        <v>0</v>
      </c>
      <c r="BH13" s="135">
        <v>0</v>
      </c>
      <c r="BI13" s="135">
        <v>0</v>
      </c>
      <c r="BJ13" s="135">
        <v>0</v>
      </c>
      <c r="BK13" s="89"/>
      <c r="BL13" s="77">
        <f t="shared" si="0"/>
        <v>0</v>
      </c>
    </row>
    <row r="14" spans="1:64" x14ac:dyDescent="0.25">
      <c r="A14" s="76">
        <v>3350</v>
      </c>
      <c r="B14" s="191">
        <v>130</v>
      </c>
      <c r="C14" s="192" t="s">
        <v>227</v>
      </c>
      <c r="D14" s="92"/>
      <c r="E14" s="135">
        <v>14192913</v>
      </c>
      <c r="F14" s="135">
        <v>3225884</v>
      </c>
      <c r="G14" s="135">
        <v>9304615</v>
      </c>
      <c r="H14" s="135">
        <v>0</v>
      </c>
      <c r="I14" s="135">
        <v>1215706</v>
      </c>
      <c r="J14" s="135">
        <v>15671200</v>
      </c>
      <c r="K14" s="135">
        <v>6045718</v>
      </c>
      <c r="L14" s="135">
        <v>22694430</v>
      </c>
      <c r="M14" s="135">
        <v>23310676</v>
      </c>
      <c r="N14" s="135">
        <v>4746600</v>
      </c>
      <c r="O14" s="135">
        <v>5736073</v>
      </c>
      <c r="P14" s="135">
        <v>12203550</v>
      </c>
      <c r="Q14" s="135">
        <v>62875652</v>
      </c>
      <c r="R14" s="135">
        <v>0</v>
      </c>
      <c r="S14" s="135">
        <v>0</v>
      </c>
      <c r="T14" s="135">
        <v>6439143</v>
      </c>
      <c r="U14" s="135">
        <v>0</v>
      </c>
      <c r="V14" s="135">
        <v>17401829</v>
      </c>
      <c r="W14" s="135">
        <v>15811412.390000001</v>
      </c>
      <c r="X14" s="135">
        <v>2564397</v>
      </c>
      <c r="Y14" s="135">
        <v>0</v>
      </c>
      <c r="Z14" s="135">
        <v>9275790</v>
      </c>
      <c r="AA14" s="135">
        <v>0</v>
      </c>
      <c r="AB14" s="135">
        <v>4532133</v>
      </c>
      <c r="AC14" s="135">
        <v>0</v>
      </c>
      <c r="AD14" s="135">
        <v>0</v>
      </c>
      <c r="AE14" s="135">
        <v>0</v>
      </c>
      <c r="AF14" s="135">
        <v>1822293</v>
      </c>
      <c r="AG14" s="135">
        <v>10676744</v>
      </c>
      <c r="AH14" s="135">
        <v>11476135</v>
      </c>
      <c r="AI14" s="135">
        <v>0</v>
      </c>
      <c r="AJ14" s="135">
        <v>6750202</v>
      </c>
      <c r="AK14" s="135">
        <v>0</v>
      </c>
      <c r="AL14" s="135">
        <v>0</v>
      </c>
      <c r="AM14" s="135">
        <v>4601067</v>
      </c>
      <c r="AN14" s="135">
        <v>11852095</v>
      </c>
      <c r="AO14" s="135">
        <v>0</v>
      </c>
      <c r="AP14" s="135">
        <v>2059025</v>
      </c>
      <c r="AQ14" s="135">
        <v>6694181</v>
      </c>
      <c r="AR14" s="135">
        <v>12468296</v>
      </c>
      <c r="AS14" s="135">
        <v>4497811</v>
      </c>
      <c r="AT14" s="135">
        <v>0</v>
      </c>
      <c r="AU14" s="135">
        <v>3394896.17</v>
      </c>
      <c r="AV14" s="135">
        <v>13032304</v>
      </c>
      <c r="AW14" s="135">
        <v>0</v>
      </c>
      <c r="AX14" s="135">
        <v>3995994</v>
      </c>
      <c r="AY14" s="135">
        <v>0</v>
      </c>
      <c r="AZ14" s="135">
        <v>5974813</v>
      </c>
      <c r="BA14" s="135">
        <v>8038525</v>
      </c>
      <c r="BB14" s="135">
        <v>2323416</v>
      </c>
      <c r="BC14" s="135">
        <v>15256977</v>
      </c>
      <c r="BD14" s="135">
        <v>306380</v>
      </c>
      <c r="BE14" s="135">
        <v>0</v>
      </c>
      <c r="BF14" s="135">
        <v>0</v>
      </c>
      <c r="BG14" s="135">
        <v>6830988</v>
      </c>
      <c r="BH14" s="135">
        <v>4260515</v>
      </c>
      <c r="BI14" s="135">
        <v>8256180</v>
      </c>
      <c r="BJ14" s="135">
        <v>0</v>
      </c>
      <c r="BK14" s="89"/>
      <c r="BL14" s="77">
        <f t="shared" si="0"/>
        <v>381816558.56</v>
      </c>
    </row>
    <row r="15" spans="1:64" x14ac:dyDescent="0.25">
      <c r="A15" s="76">
        <v>3370</v>
      </c>
      <c r="B15" s="191">
        <v>140</v>
      </c>
      <c r="C15" s="192" t="s">
        <v>228</v>
      </c>
      <c r="D15" s="88"/>
      <c r="E15" s="135">
        <v>0</v>
      </c>
      <c r="F15" s="135">
        <v>0</v>
      </c>
      <c r="G15" s="135">
        <v>0</v>
      </c>
      <c r="H15" s="135">
        <v>0</v>
      </c>
      <c r="I15" s="135">
        <v>0</v>
      </c>
      <c r="J15" s="135">
        <v>0</v>
      </c>
      <c r="K15" s="135">
        <v>0</v>
      </c>
      <c r="L15" s="135">
        <v>0</v>
      </c>
      <c r="M15" s="135">
        <v>0</v>
      </c>
      <c r="N15" s="135">
        <v>0</v>
      </c>
      <c r="O15" s="135">
        <v>0</v>
      </c>
      <c r="P15" s="135">
        <v>0</v>
      </c>
      <c r="Q15" s="135">
        <v>2884838</v>
      </c>
      <c r="R15" s="135">
        <v>0</v>
      </c>
      <c r="S15" s="135">
        <v>0</v>
      </c>
      <c r="T15" s="135">
        <v>0</v>
      </c>
      <c r="U15" s="135">
        <v>0</v>
      </c>
      <c r="V15" s="135">
        <v>2776353</v>
      </c>
      <c r="W15" s="135">
        <v>0</v>
      </c>
      <c r="X15" s="135">
        <v>0</v>
      </c>
      <c r="Y15" s="135">
        <v>0</v>
      </c>
      <c r="Z15" s="135">
        <v>0</v>
      </c>
      <c r="AA15" s="135">
        <v>0</v>
      </c>
      <c r="AB15" s="135">
        <v>1686744</v>
      </c>
      <c r="AC15" s="135">
        <v>0</v>
      </c>
      <c r="AD15" s="135">
        <v>0</v>
      </c>
      <c r="AE15" s="135">
        <v>0</v>
      </c>
      <c r="AF15" s="135">
        <v>0</v>
      </c>
      <c r="AG15" s="135">
        <v>778790</v>
      </c>
      <c r="AH15" s="135">
        <v>1075674</v>
      </c>
      <c r="AI15" s="135">
        <v>0</v>
      </c>
      <c r="AJ15" s="135">
        <v>0</v>
      </c>
      <c r="AK15" s="135">
        <v>0</v>
      </c>
      <c r="AL15" s="135">
        <v>0</v>
      </c>
      <c r="AM15" s="135">
        <v>0</v>
      </c>
      <c r="AN15" s="135">
        <v>0</v>
      </c>
      <c r="AO15" s="135">
        <v>0</v>
      </c>
      <c r="AP15" s="135">
        <v>0</v>
      </c>
      <c r="AQ15" s="135">
        <v>0</v>
      </c>
      <c r="AR15" s="135">
        <v>0</v>
      </c>
      <c r="AS15" s="135">
        <v>0</v>
      </c>
      <c r="AT15" s="135">
        <v>0</v>
      </c>
      <c r="AU15" s="135">
        <v>0</v>
      </c>
      <c r="AV15" s="135">
        <v>0</v>
      </c>
      <c r="AW15" s="135">
        <v>130223</v>
      </c>
      <c r="AX15" s="135">
        <v>0</v>
      </c>
      <c r="AY15" s="135">
        <v>0</v>
      </c>
      <c r="AZ15" s="135">
        <v>0</v>
      </c>
      <c r="BA15" s="135">
        <v>0</v>
      </c>
      <c r="BB15" s="135">
        <v>539135</v>
      </c>
      <c r="BC15" s="135">
        <v>1773948</v>
      </c>
      <c r="BD15" s="135">
        <v>0</v>
      </c>
      <c r="BE15" s="135">
        <v>0</v>
      </c>
      <c r="BF15" s="135">
        <v>0</v>
      </c>
      <c r="BG15" s="135">
        <v>160000</v>
      </c>
      <c r="BH15" s="135">
        <v>0</v>
      </c>
      <c r="BI15" s="135">
        <v>301185</v>
      </c>
      <c r="BJ15" s="135">
        <v>612000</v>
      </c>
      <c r="BK15" s="89"/>
      <c r="BL15" s="77">
        <f t="shared" si="0"/>
        <v>12718890</v>
      </c>
    </row>
    <row r="16" spans="1:64" x14ac:dyDescent="0.25">
      <c r="A16" s="76">
        <v>3380</v>
      </c>
      <c r="B16" s="191">
        <v>145</v>
      </c>
      <c r="C16" s="192" t="s">
        <v>229</v>
      </c>
      <c r="D16" s="88"/>
      <c r="E16" s="135">
        <v>0</v>
      </c>
      <c r="F16" s="135">
        <v>0</v>
      </c>
      <c r="G16" s="135">
        <v>0</v>
      </c>
      <c r="H16" s="135">
        <v>0</v>
      </c>
      <c r="I16" s="135">
        <v>0</v>
      </c>
      <c r="J16" s="135">
        <v>16656</v>
      </c>
      <c r="K16" s="135">
        <v>0</v>
      </c>
      <c r="L16" s="135">
        <v>36407</v>
      </c>
      <c r="M16" s="135">
        <v>0</v>
      </c>
      <c r="N16" s="135">
        <v>1119372</v>
      </c>
      <c r="O16" s="135">
        <v>520491</v>
      </c>
      <c r="P16" s="135">
        <v>0</v>
      </c>
      <c r="Q16" s="135">
        <v>324137</v>
      </c>
      <c r="R16" s="135">
        <v>162143</v>
      </c>
      <c r="S16" s="135">
        <v>0</v>
      </c>
      <c r="T16" s="135">
        <v>0</v>
      </c>
      <c r="U16" s="135">
        <v>0</v>
      </c>
      <c r="V16" s="135">
        <v>714441</v>
      </c>
      <c r="W16" s="135">
        <v>0</v>
      </c>
      <c r="X16" s="135">
        <v>0</v>
      </c>
      <c r="Y16" s="135">
        <v>0</v>
      </c>
      <c r="Z16" s="135">
        <v>0</v>
      </c>
      <c r="AA16" s="135">
        <v>12825</v>
      </c>
      <c r="AB16" s="135">
        <v>0</v>
      </c>
      <c r="AC16" s="135">
        <v>0</v>
      </c>
      <c r="AD16" s="135">
        <v>0</v>
      </c>
      <c r="AE16" s="135">
        <v>0</v>
      </c>
      <c r="AF16" s="135">
        <v>0</v>
      </c>
      <c r="AG16" s="135">
        <v>0</v>
      </c>
      <c r="AH16" s="135">
        <v>103857</v>
      </c>
      <c r="AI16" s="135">
        <v>82686</v>
      </c>
      <c r="AJ16" s="135">
        <v>0</v>
      </c>
      <c r="AK16" s="135">
        <v>0</v>
      </c>
      <c r="AL16" s="135">
        <v>0</v>
      </c>
      <c r="AM16" s="135">
        <v>0</v>
      </c>
      <c r="AN16" s="135">
        <v>0</v>
      </c>
      <c r="AO16" s="135">
        <v>0</v>
      </c>
      <c r="AP16" s="135">
        <v>4966</v>
      </c>
      <c r="AQ16" s="135">
        <v>0</v>
      </c>
      <c r="AR16" s="135">
        <v>0</v>
      </c>
      <c r="AS16" s="135">
        <v>0</v>
      </c>
      <c r="AT16" s="135">
        <v>0</v>
      </c>
      <c r="AU16" s="135">
        <v>0</v>
      </c>
      <c r="AV16" s="135">
        <v>0</v>
      </c>
      <c r="AW16" s="135">
        <v>1682212</v>
      </c>
      <c r="AX16" s="135">
        <v>0</v>
      </c>
      <c r="AY16" s="135">
        <v>0</v>
      </c>
      <c r="AZ16" s="135">
        <v>0</v>
      </c>
      <c r="BA16" s="135">
        <v>0</v>
      </c>
      <c r="BB16" s="135">
        <v>43736</v>
      </c>
      <c r="BC16" s="135">
        <v>0</v>
      </c>
      <c r="BD16" s="135">
        <v>0</v>
      </c>
      <c r="BE16" s="135">
        <v>0</v>
      </c>
      <c r="BF16" s="135">
        <v>0</v>
      </c>
      <c r="BG16" s="135">
        <v>38094</v>
      </c>
      <c r="BH16" s="135">
        <v>0</v>
      </c>
      <c r="BI16" s="135">
        <v>0</v>
      </c>
      <c r="BJ16" s="135">
        <v>2387017</v>
      </c>
      <c r="BK16" s="93"/>
      <c r="BL16" s="140">
        <f t="shared" si="0"/>
        <v>7249040</v>
      </c>
    </row>
    <row r="17" spans="1:64" x14ac:dyDescent="0.25">
      <c r="A17" s="76"/>
      <c r="B17" s="77"/>
      <c r="C17" s="109" t="s">
        <v>66</v>
      </c>
      <c r="D17" s="88"/>
      <c r="E17" s="94">
        <f t="shared" ref="E17:AJ17" si="1">SUM(E7:E16)</f>
        <v>17637032</v>
      </c>
      <c r="F17" s="94">
        <f t="shared" si="1"/>
        <v>4927864</v>
      </c>
      <c r="G17" s="94">
        <f t="shared" si="1"/>
        <v>16908820</v>
      </c>
      <c r="H17" s="94">
        <f t="shared" si="1"/>
        <v>0</v>
      </c>
      <c r="I17" s="94">
        <f t="shared" si="1"/>
        <v>1645971</v>
      </c>
      <c r="J17" s="94">
        <f t="shared" si="1"/>
        <v>18223169</v>
      </c>
      <c r="K17" s="94">
        <f t="shared" si="1"/>
        <v>8145668</v>
      </c>
      <c r="L17" s="94">
        <f t="shared" si="1"/>
        <v>28913960</v>
      </c>
      <c r="M17" s="94">
        <f t="shared" si="1"/>
        <v>29644658</v>
      </c>
      <c r="N17" s="94">
        <f t="shared" si="1"/>
        <v>7810063</v>
      </c>
      <c r="O17" s="94">
        <f t="shared" si="1"/>
        <v>10329932</v>
      </c>
      <c r="P17" s="94">
        <f t="shared" si="1"/>
        <v>14675036</v>
      </c>
      <c r="Q17" s="94">
        <f t="shared" si="1"/>
        <v>99726492</v>
      </c>
      <c r="R17" s="94">
        <f t="shared" si="1"/>
        <v>4687873</v>
      </c>
      <c r="S17" s="94">
        <f t="shared" si="1"/>
        <v>0</v>
      </c>
      <c r="T17" s="94">
        <f t="shared" si="1"/>
        <v>11689192</v>
      </c>
      <c r="U17" s="94">
        <f t="shared" si="1"/>
        <v>0</v>
      </c>
      <c r="V17" s="94">
        <f t="shared" si="1"/>
        <v>29315385</v>
      </c>
      <c r="W17" s="94">
        <f t="shared" si="1"/>
        <v>21279561.490000002</v>
      </c>
      <c r="X17" s="94">
        <f t="shared" si="1"/>
        <v>4005073</v>
      </c>
      <c r="Y17" s="94">
        <f t="shared" si="1"/>
        <v>0</v>
      </c>
      <c r="Z17" s="94">
        <f t="shared" si="1"/>
        <v>15627083</v>
      </c>
      <c r="AA17" s="94">
        <f t="shared" si="1"/>
        <v>24940</v>
      </c>
      <c r="AB17" s="143">
        <f t="shared" si="1"/>
        <v>19641492</v>
      </c>
      <c r="AC17" s="94">
        <f t="shared" si="1"/>
        <v>0</v>
      </c>
      <c r="AD17" s="94">
        <f t="shared" si="1"/>
        <v>0</v>
      </c>
      <c r="AE17" s="94">
        <f t="shared" si="1"/>
        <v>3965723</v>
      </c>
      <c r="AF17" s="94">
        <f t="shared" si="1"/>
        <v>2693904</v>
      </c>
      <c r="AG17" s="94">
        <f t="shared" si="1"/>
        <v>14934077</v>
      </c>
      <c r="AH17" s="94">
        <f t="shared" si="1"/>
        <v>13951695</v>
      </c>
      <c r="AI17" s="94">
        <f t="shared" si="1"/>
        <v>465430</v>
      </c>
      <c r="AJ17" s="94">
        <f t="shared" si="1"/>
        <v>13256031</v>
      </c>
      <c r="AK17" s="94">
        <f t="shared" ref="AK17:BJ17" si="2">SUM(AK7:AK16)</f>
        <v>0</v>
      </c>
      <c r="AL17" s="94">
        <f t="shared" si="2"/>
        <v>0</v>
      </c>
      <c r="AM17" s="94">
        <f t="shared" si="2"/>
        <v>5021733</v>
      </c>
      <c r="AN17" s="94">
        <f t="shared" si="2"/>
        <v>12616275</v>
      </c>
      <c r="AO17" s="94">
        <f t="shared" si="2"/>
        <v>0</v>
      </c>
      <c r="AP17" s="94">
        <f t="shared" si="2"/>
        <v>2455644</v>
      </c>
      <c r="AQ17" s="94">
        <f t="shared" si="2"/>
        <v>8994291</v>
      </c>
      <c r="AR17" s="94">
        <f t="shared" si="2"/>
        <v>15690652</v>
      </c>
      <c r="AS17" s="94">
        <f t="shared" si="2"/>
        <v>6559827</v>
      </c>
      <c r="AT17" s="94">
        <f t="shared" si="2"/>
        <v>0</v>
      </c>
      <c r="AU17" s="94">
        <f t="shared" si="2"/>
        <v>4606661.6899999995</v>
      </c>
      <c r="AV17" s="94">
        <f t="shared" si="2"/>
        <v>22548969</v>
      </c>
      <c r="AW17" s="94">
        <f t="shared" si="2"/>
        <v>11512312</v>
      </c>
      <c r="AX17" s="94">
        <f t="shared" si="2"/>
        <v>5294744</v>
      </c>
      <c r="AY17" s="94">
        <f t="shared" si="2"/>
        <v>0</v>
      </c>
      <c r="AZ17" s="94">
        <f t="shared" si="2"/>
        <v>9748775</v>
      </c>
      <c r="BA17" s="94">
        <f t="shared" si="2"/>
        <v>8902283</v>
      </c>
      <c r="BB17" s="94">
        <f t="shared" si="2"/>
        <v>4869513</v>
      </c>
      <c r="BC17" s="94">
        <f t="shared" si="2"/>
        <v>18249592</v>
      </c>
      <c r="BD17" s="94">
        <f t="shared" si="2"/>
        <v>500855</v>
      </c>
      <c r="BE17" s="94">
        <f t="shared" si="2"/>
        <v>10544648</v>
      </c>
      <c r="BF17" s="94">
        <f t="shared" si="2"/>
        <v>0</v>
      </c>
      <c r="BG17" s="94">
        <f t="shared" si="2"/>
        <v>13103223</v>
      </c>
      <c r="BH17" s="94">
        <f t="shared" si="2"/>
        <v>4419877</v>
      </c>
      <c r="BI17" s="94">
        <f t="shared" si="2"/>
        <v>14298684</v>
      </c>
      <c r="BJ17" s="94">
        <f t="shared" si="2"/>
        <v>6872672</v>
      </c>
      <c r="BK17" s="94"/>
      <c r="BL17" s="94">
        <f>SUM(BL7:BL16)</f>
        <v>600937355.18000007</v>
      </c>
    </row>
    <row r="18" spans="1:64" x14ac:dyDescent="0.25">
      <c r="A18" s="76"/>
      <c r="B18" s="77"/>
      <c r="C18" s="88"/>
      <c r="D18" s="88"/>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0"/>
    </row>
    <row r="19" spans="1:64" x14ac:dyDescent="0.25">
      <c r="A19" s="76"/>
      <c r="B19" s="77"/>
      <c r="C19" s="109" t="s">
        <v>230</v>
      </c>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row>
    <row r="20" spans="1:64" x14ac:dyDescent="0.25">
      <c r="A20" s="76">
        <v>3430</v>
      </c>
      <c r="B20" s="191">
        <v>200</v>
      </c>
      <c r="C20" s="192" t="s">
        <v>231</v>
      </c>
      <c r="D20" s="88"/>
      <c r="E20" s="135">
        <v>12111</v>
      </c>
      <c r="F20" s="135">
        <v>3109</v>
      </c>
      <c r="G20" s="135">
        <v>14416</v>
      </c>
      <c r="H20" s="135">
        <v>0</v>
      </c>
      <c r="I20" s="135">
        <v>0</v>
      </c>
      <c r="J20" s="135">
        <v>2723</v>
      </c>
      <c r="K20" s="135">
        <v>273013</v>
      </c>
      <c r="L20" s="135">
        <v>0</v>
      </c>
      <c r="M20" s="135">
        <v>8404</v>
      </c>
      <c r="N20" s="135">
        <v>6597</v>
      </c>
      <c r="O20" s="135">
        <v>2910</v>
      </c>
      <c r="P20" s="135">
        <v>39356</v>
      </c>
      <c r="Q20" s="135">
        <v>118189</v>
      </c>
      <c r="R20" s="135">
        <v>0</v>
      </c>
      <c r="S20" s="135">
        <v>0</v>
      </c>
      <c r="T20" s="135">
        <v>0</v>
      </c>
      <c r="U20" s="135">
        <v>0</v>
      </c>
      <c r="V20" s="135">
        <v>600</v>
      </c>
      <c r="W20" s="135">
        <v>193383.84</v>
      </c>
      <c r="X20" s="135">
        <v>0</v>
      </c>
      <c r="Y20" s="135">
        <v>0</v>
      </c>
      <c r="Z20" s="135">
        <v>25</v>
      </c>
      <c r="AA20" s="135">
        <v>0</v>
      </c>
      <c r="AB20" s="135">
        <v>78368</v>
      </c>
      <c r="AC20" s="135">
        <v>0</v>
      </c>
      <c r="AD20" s="135">
        <v>0</v>
      </c>
      <c r="AE20" s="135">
        <v>0</v>
      </c>
      <c r="AF20" s="135">
        <v>0</v>
      </c>
      <c r="AG20" s="135">
        <v>1093</v>
      </c>
      <c r="AH20" s="135">
        <v>2854</v>
      </c>
      <c r="AI20" s="135">
        <v>0</v>
      </c>
      <c r="AJ20" s="135">
        <v>172055</v>
      </c>
      <c r="AK20" s="135">
        <v>0</v>
      </c>
      <c r="AL20" s="135">
        <v>0</v>
      </c>
      <c r="AM20" s="135">
        <v>0</v>
      </c>
      <c r="AN20" s="135">
        <v>9640</v>
      </c>
      <c r="AO20" s="135">
        <v>0</v>
      </c>
      <c r="AP20" s="135">
        <v>74226</v>
      </c>
      <c r="AQ20" s="135">
        <v>15231</v>
      </c>
      <c r="AR20" s="135">
        <v>2919</v>
      </c>
      <c r="AS20" s="135">
        <v>1331</v>
      </c>
      <c r="AT20" s="135">
        <v>0</v>
      </c>
      <c r="AU20" s="135">
        <v>11708.43</v>
      </c>
      <c r="AV20" s="135">
        <v>0</v>
      </c>
      <c r="AW20" s="135">
        <v>1792</v>
      </c>
      <c r="AX20" s="135">
        <v>0</v>
      </c>
      <c r="AY20" s="135">
        <v>0</v>
      </c>
      <c r="AZ20" s="135">
        <v>0</v>
      </c>
      <c r="BA20" s="135">
        <v>0</v>
      </c>
      <c r="BB20" s="135">
        <v>0</v>
      </c>
      <c r="BC20" s="135">
        <v>4271</v>
      </c>
      <c r="BD20" s="135">
        <v>0</v>
      </c>
      <c r="BE20" s="135">
        <v>2023</v>
      </c>
      <c r="BF20" s="135">
        <v>0</v>
      </c>
      <c r="BG20" s="135">
        <v>0</v>
      </c>
      <c r="BH20" s="135">
        <v>0</v>
      </c>
      <c r="BI20" s="135">
        <v>11080</v>
      </c>
      <c r="BJ20" s="135">
        <v>0</v>
      </c>
      <c r="BK20" s="89"/>
      <c r="BL20" s="77">
        <f t="shared" ref="BL20:BL29" si="3">SUM(E20:BK20)</f>
        <v>1063428.27</v>
      </c>
    </row>
    <row r="21" spans="1:64" ht="15" x14ac:dyDescent="0.25">
      <c r="A21" s="76">
        <v>3432</v>
      </c>
      <c r="B21" s="110">
        <v>202</v>
      </c>
      <c r="C21" s="111" t="s">
        <v>597</v>
      </c>
      <c r="D21" s="95"/>
      <c r="E21" s="138">
        <v>183789</v>
      </c>
      <c r="F21" s="138">
        <v>0</v>
      </c>
      <c r="G21" s="138">
        <v>0</v>
      </c>
      <c r="H21" s="137">
        <v>0</v>
      </c>
      <c r="I21" s="138">
        <v>0</v>
      </c>
      <c r="J21" s="138">
        <v>0</v>
      </c>
      <c r="K21" s="138">
        <v>0</v>
      </c>
      <c r="L21" s="138">
        <v>0</v>
      </c>
      <c r="M21" s="138">
        <v>508627</v>
      </c>
      <c r="N21" s="138">
        <v>0</v>
      </c>
      <c r="O21" s="138">
        <v>0</v>
      </c>
      <c r="P21" s="138">
        <v>0</v>
      </c>
      <c r="Q21" s="138">
        <v>0</v>
      </c>
      <c r="R21" s="138">
        <v>0</v>
      </c>
      <c r="S21" s="136">
        <v>0</v>
      </c>
      <c r="T21" s="138">
        <v>318833</v>
      </c>
      <c r="U21" s="136">
        <v>0</v>
      </c>
      <c r="V21" s="138">
        <v>0</v>
      </c>
      <c r="W21" s="138">
        <v>0</v>
      </c>
      <c r="X21" s="138">
        <v>0</v>
      </c>
      <c r="Y21" s="136">
        <v>0</v>
      </c>
      <c r="Z21" s="138">
        <v>0</v>
      </c>
      <c r="AA21" s="138">
        <v>0</v>
      </c>
      <c r="AB21" s="138">
        <v>0</v>
      </c>
      <c r="AC21" s="136">
        <v>0</v>
      </c>
      <c r="AD21" s="136">
        <v>0</v>
      </c>
      <c r="AE21" s="138">
        <v>0</v>
      </c>
      <c r="AF21" s="138">
        <v>9</v>
      </c>
      <c r="AG21" s="138">
        <v>10892</v>
      </c>
      <c r="AH21" s="138">
        <v>0</v>
      </c>
      <c r="AI21" s="138">
        <v>0</v>
      </c>
      <c r="AJ21" s="138">
        <v>0</v>
      </c>
      <c r="AK21" s="136">
        <v>0</v>
      </c>
      <c r="AL21" s="136">
        <v>0</v>
      </c>
      <c r="AM21" s="138">
        <v>0</v>
      </c>
      <c r="AN21" s="138">
        <v>0</v>
      </c>
      <c r="AO21" s="136">
        <v>0</v>
      </c>
      <c r="AP21" s="138">
        <v>0</v>
      </c>
      <c r="AQ21" s="138">
        <v>0</v>
      </c>
      <c r="AR21" s="138">
        <v>0</v>
      </c>
      <c r="AS21" s="138">
        <v>0</v>
      </c>
      <c r="AT21" s="136">
        <v>0</v>
      </c>
      <c r="AU21" s="138">
        <v>0</v>
      </c>
      <c r="AV21" s="138">
        <v>0</v>
      </c>
      <c r="AW21" s="138">
        <v>385424</v>
      </c>
      <c r="AX21" s="138">
        <v>0</v>
      </c>
      <c r="AY21" s="136">
        <v>0</v>
      </c>
      <c r="AZ21" s="138">
        <v>0</v>
      </c>
      <c r="BA21" s="138">
        <v>0</v>
      </c>
      <c r="BB21" s="138">
        <v>0</v>
      </c>
      <c r="BC21" s="138">
        <v>0</v>
      </c>
      <c r="BD21" s="136">
        <v>0</v>
      </c>
      <c r="BE21" s="138">
        <v>0</v>
      </c>
      <c r="BF21" s="136">
        <v>0</v>
      </c>
      <c r="BG21" s="138">
        <v>0</v>
      </c>
      <c r="BH21" s="138">
        <v>0</v>
      </c>
      <c r="BI21" s="138">
        <v>56020</v>
      </c>
      <c r="BJ21" s="138">
        <v>0</v>
      </c>
      <c r="BK21" s="96"/>
      <c r="BL21" s="141">
        <f t="shared" si="3"/>
        <v>1463594</v>
      </c>
    </row>
    <row r="22" spans="1:64" ht="15" x14ac:dyDescent="0.25">
      <c r="A22" s="76">
        <v>3434</v>
      </c>
      <c r="B22" s="110">
        <v>203</v>
      </c>
      <c r="C22" s="111" t="s">
        <v>598</v>
      </c>
      <c r="D22" s="95"/>
      <c r="E22" s="138">
        <v>0</v>
      </c>
      <c r="F22" s="138">
        <v>0</v>
      </c>
      <c r="G22" s="138">
        <v>0</v>
      </c>
      <c r="H22" s="137">
        <v>0</v>
      </c>
      <c r="I22" s="138">
        <v>0</v>
      </c>
      <c r="J22" s="138">
        <v>0</v>
      </c>
      <c r="K22" s="138">
        <v>0</v>
      </c>
      <c r="L22" s="138">
        <v>0</v>
      </c>
      <c r="M22" s="138">
        <v>0</v>
      </c>
      <c r="N22" s="138">
        <v>0</v>
      </c>
      <c r="O22" s="138">
        <v>0</v>
      </c>
      <c r="P22" s="138">
        <v>0</v>
      </c>
      <c r="Q22" s="138">
        <v>0</v>
      </c>
      <c r="R22" s="138">
        <v>0</v>
      </c>
      <c r="S22" s="136">
        <v>0</v>
      </c>
      <c r="T22" s="138">
        <v>0</v>
      </c>
      <c r="U22" s="136">
        <v>0</v>
      </c>
      <c r="V22" s="138">
        <v>0</v>
      </c>
      <c r="W22" s="138">
        <v>0</v>
      </c>
      <c r="X22" s="138">
        <v>0</v>
      </c>
      <c r="Y22" s="136">
        <v>0</v>
      </c>
      <c r="Z22" s="138">
        <v>0</v>
      </c>
      <c r="AA22" s="138">
        <v>0</v>
      </c>
      <c r="AB22" s="138">
        <v>0</v>
      </c>
      <c r="AC22" s="136">
        <v>0</v>
      </c>
      <c r="AD22" s="136">
        <v>0</v>
      </c>
      <c r="AE22" s="138">
        <v>0</v>
      </c>
      <c r="AF22" s="138">
        <v>0</v>
      </c>
      <c r="AG22" s="138">
        <v>360145</v>
      </c>
      <c r="AH22" s="138">
        <v>0</v>
      </c>
      <c r="AI22" s="138">
        <v>0</v>
      </c>
      <c r="AJ22" s="138">
        <v>0</v>
      </c>
      <c r="AK22" s="136">
        <v>0</v>
      </c>
      <c r="AL22" s="136">
        <v>0</v>
      </c>
      <c r="AM22" s="138">
        <v>0</v>
      </c>
      <c r="AN22" s="138">
        <v>0</v>
      </c>
      <c r="AO22" s="136">
        <v>0</v>
      </c>
      <c r="AP22" s="138">
        <v>0</v>
      </c>
      <c r="AQ22" s="138">
        <v>0</v>
      </c>
      <c r="AR22" s="138">
        <v>0</v>
      </c>
      <c r="AS22" s="138">
        <v>0</v>
      </c>
      <c r="AT22" s="136">
        <v>0</v>
      </c>
      <c r="AU22" s="138">
        <v>0</v>
      </c>
      <c r="AV22" s="138">
        <v>0</v>
      </c>
      <c r="AW22" s="138">
        <v>0</v>
      </c>
      <c r="AX22" s="138">
        <v>0</v>
      </c>
      <c r="AY22" s="136">
        <v>0</v>
      </c>
      <c r="AZ22" s="138">
        <v>0</v>
      </c>
      <c r="BA22" s="138">
        <v>0</v>
      </c>
      <c r="BB22" s="138">
        <v>0</v>
      </c>
      <c r="BC22" s="138">
        <v>0</v>
      </c>
      <c r="BD22" s="136">
        <v>0</v>
      </c>
      <c r="BE22" s="138">
        <v>0</v>
      </c>
      <c r="BF22" s="136">
        <v>0</v>
      </c>
      <c r="BG22" s="138">
        <v>0</v>
      </c>
      <c r="BH22" s="138">
        <v>0</v>
      </c>
      <c r="BI22" s="138">
        <v>0</v>
      </c>
      <c r="BJ22" s="138">
        <v>19795</v>
      </c>
      <c r="BK22" s="96"/>
      <c r="BL22" s="141">
        <f t="shared" si="3"/>
        <v>379940</v>
      </c>
    </row>
    <row r="23" spans="1:64" x14ac:dyDescent="0.25">
      <c r="A23" s="76">
        <v>3500</v>
      </c>
      <c r="B23" s="191">
        <v>205</v>
      </c>
      <c r="C23" s="192" t="s">
        <v>71</v>
      </c>
      <c r="D23" s="97"/>
      <c r="E23" s="135">
        <v>0</v>
      </c>
      <c r="F23" s="135">
        <v>0</v>
      </c>
      <c r="G23" s="135">
        <v>0</v>
      </c>
      <c r="H23" s="135">
        <v>0</v>
      </c>
      <c r="I23" s="135">
        <v>0</v>
      </c>
      <c r="J23" s="135">
        <v>0</v>
      </c>
      <c r="K23" s="135">
        <v>0</v>
      </c>
      <c r="L23" s="135">
        <v>0</v>
      </c>
      <c r="M23" s="135">
        <v>0</v>
      </c>
      <c r="N23" s="135">
        <v>0</v>
      </c>
      <c r="O23" s="135">
        <v>0</v>
      </c>
      <c r="P23" s="135">
        <v>0</v>
      </c>
      <c r="Q23" s="135">
        <v>23333</v>
      </c>
      <c r="R23" s="135">
        <v>0</v>
      </c>
      <c r="S23" s="135">
        <v>0</v>
      </c>
      <c r="T23" s="135">
        <v>0</v>
      </c>
      <c r="U23" s="135">
        <v>0</v>
      </c>
      <c r="V23" s="135">
        <v>0</v>
      </c>
      <c r="W23" s="135">
        <v>0</v>
      </c>
      <c r="X23" s="135">
        <v>66703</v>
      </c>
      <c r="Y23" s="135">
        <v>0</v>
      </c>
      <c r="Z23" s="135">
        <v>25000</v>
      </c>
      <c r="AA23" s="135">
        <v>0</v>
      </c>
      <c r="AB23" s="135">
        <v>0</v>
      </c>
      <c r="AC23" s="135">
        <v>0</v>
      </c>
      <c r="AD23" s="135">
        <v>0</v>
      </c>
      <c r="AE23" s="135">
        <v>0</v>
      </c>
      <c r="AF23" s="135">
        <v>0</v>
      </c>
      <c r="AG23" s="135">
        <v>71048</v>
      </c>
      <c r="AH23" s="135">
        <v>0</v>
      </c>
      <c r="AI23" s="135">
        <v>0</v>
      </c>
      <c r="AJ23" s="135">
        <v>0</v>
      </c>
      <c r="AK23" s="135">
        <v>0</v>
      </c>
      <c r="AL23" s="135">
        <v>0</v>
      </c>
      <c r="AM23" s="135">
        <v>0</v>
      </c>
      <c r="AN23" s="135">
        <v>0</v>
      </c>
      <c r="AO23" s="135">
        <v>0</v>
      </c>
      <c r="AP23" s="135">
        <v>0</v>
      </c>
      <c r="AQ23" s="135">
        <v>83707</v>
      </c>
      <c r="AR23" s="135">
        <v>0</v>
      </c>
      <c r="AS23" s="135">
        <v>0</v>
      </c>
      <c r="AT23" s="135">
        <v>0</v>
      </c>
      <c r="AU23" s="135">
        <v>152450</v>
      </c>
      <c r="AV23" s="135">
        <v>0</v>
      </c>
      <c r="AW23" s="135">
        <v>0</v>
      </c>
      <c r="AX23" s="135">
        <v>0</v>
      </c>
      <c r="AY23" s="135">
        <v>0</v>
      </c>
      <c r="AZ23" s="135">
        <v>0</v>
      </c>
      <c r="BA23" s="135">
        <v>0</v>
      </c>
      <c r="BB23" s="135">
        <v>0</v>
      </c>
      <c r="BC23" s="135">
        <v>29588</v>
      </c>
      <c r="BD23" s="135">
        <v>0</v>
      </c>
      <c r="BE23" s="135">
        <v>0</v>
      </c>
      <c r="BF23" s="135">
        <v>0</v>
      </c>
      <c r="BG23" s="135">
        <v>0</v>
      </c>
      <c r="BH23" s="135">
        <v>0</v>
      </c>
      <c r="BI23" s="135">
        <v>67912</v>
      </c>
      <c r="BJ23" s="135">
        <v>0</v>
      </c>
      <c r="BK23" s="89"/>
      <c r="BL23" s="77">
        <f t="shared" si="3"/>
        <v>519741</v>
      </c>
    </row>
    <row r="24" spans="1:64" x14ac:dyDescent="0.25">
      <c r="A24" s="76">
        <v>3550</v>
      </c>
      <c r="B24" s="191">
        <v>210</v>
      </c>
      <c r="C24" s="192" t="s">
        <v>72</v>
      </c>
      <c r="D24" s="88"/>
      <c r="E24" s="135">
        <v>0</v>
      </c>
      <c r="F24" s="135">
        <v>0</v>
      </c>
      <c r="G24" s="135">
        <v>0</v>
      </c>
      <c r="H24" s="135">
        <v>0</v>
      </c>
      <c r="I24" s="135">
        <v>0</v>
      </c>
      <c r="J24" s="135">
        <v>0</v>
      </c>
      <c r="K24" s="135">
        <v>0</v>
      </c>
      <c r="L24" s="135">
        <v>0</v>
      </c>
      <c r="M24" s="135">
        <v>0</v>
      </c>
      <c r="N24" s="135">
        <v>0</v>
      </c>
      <c r="O24" s="135">
        <v>0</v>
      </c>
      <c r="P24" s="135">
        <v>0</v>
      </c>
      <c r="Q24" s="135">
        <v>0</v>
      </c>
      <c r="R24" s="135">
        <v>1266</v>
      </c>
      <c r="S24" s="135">
        <v>0</v>
      </c>
      <c r="T24" s="135">
        <v>0</v>
      </c>
      <c r="U24" s="135">
        <v>0</v>
      </c>
      <c r="V24" s="135">
        <v>0</v>
      </c>
      <c r="W24" s="135">
        <v>0</v>
      </c>
      <c r="X24" s="135">
        <v>0</v>
      </c>
      <c r="Y24" s="135">
        <v>0</v>
      </c>
      <c r="Z24" s="135">
        <v>0</v>
      </c>
      <c r="AA24" s="135">
        <v>0</v>
      </c>
      <c r="AB24" s="135">
        <v>0</v>
      </c>
      <c r="AC24" s="135">
        <v>0</v>
      </c>
      <c r="AD24" s="135">
        <v>0</v>
      </c>
      <c r="AE24" s="135">
        <v>0</v>
      </c>
      <c r="AF24" s="135">
        <v>0</v>
      </c>
      <c r="AG24" s="135">
        <v>0</v>
      </c>
      <c r="AH24" s="135">
        <v>0</v>
      </c>
      <c r="AI24" s="135">
        <v>0</v>
      </c>
      <c r="AJ24" s="135">
        <v>0</v>
      </c>
      <c r="AK24" s="135">
        <v>0</v>
      </c>
      <c r="AL24" s="135">
        <v>0</v>
      </c>
      <c r="AM24" s="135">
        <v>0</v>
      </c>
      <c r="AN24" s="135">
        <v>0</v>
      </c>
      <c r="AO24" s="135">
        <v>0</v>
      </c>
      <c r="AP24" s="135">
        <v>0</v>
      </c>
      <c r="AQ24" s="135">
        <v>0</v>
      </c>
      <c r="AR24" s="135">
        <v>0</v>
      </c>
      <c r="AS24" s="135">
        <v>0</v>
      </c>
      <c r="AT24" s="135">
        <v>0</v>
      </c>
      <c r="AU24" s="135">
        <v>0</v>
      </c>
      <c r="AV24" s="135">
        <v>0</v>
      </c>
      <c r="AW24" s="135">
        <v>0</v>
      </c>
      <c r="AX24" s="135">
        <v>0</v>
      </c>
      <c r="AY24" s="135">
        <v>0</v>
      </c>
      <c r="AZ24" s="135">
        <v>0</v>
      </c>
      <c r="BA24" s="135">
        <v>0</v>
      </c>
      <c r="BB24" s="135">
        <v>0</v>
      </c>
      <c r="BC24" s="135">
        <v>0</v>
      </c>
      <c r="BD24" s="135">
        <v>0</v>
      </c>
      <c r="BE24" s="135">
        <v>0</v>
      </c>
      <c r="BF24" s="135">
        <v>0</v>
      </c>
      <c r="BG24" s="135">
        <v>0</v>
      </c>
      <c r="BH24" s="135">
        <v>0</v>
      </c>
      <c r="BI24" s="135">
        <v>0</v>
      </c>
      <c r="BJ24" s="135">
        <v>0</v>
      </c>
      <c r="BK24" s="98"/>
      <c r="BL24" s="77">
        <f t="shared" si="3"/>
        <v>1266</v>
      </c>
    </row>
    <row r="25" spans="1:64" x14ac:dyDescent="0.25">
      <c r="A25" s="76">
        <v>3530</v>
      </c>
      <c r="B25" s="191">
        <v>215</v>
      </c>
      <c r="C25" s="192" t="s">
        <v>73</v>
      </c>
      <c r="D25" s="88"/>
      <c r="E25" s="135">
        <v>0</v>
      </c>
      <c r="F25" s="135">
        <v>0</v>
      </c>
      <c r="G25" s="135">
        <v>0</v>
      </c>
      <c r="H25" s="135">
        <v>0</v>
      </c>
      <c r="I25" s="135">
        <v>0</v>
      </c>
      <c r="J25" s="135">
        <v>0</v>
      </c>
      <c r="K25" s="135">
        <v>0</v>
      </c>
      <c r="L25" s="135">
        <v>0</v>
      </c>
      <c r="M25" s="135">
        <v>0</v>
      </c>
      <c r="N25" s="135">
        <v>0</v>
      </c>
      <c r="O25" s="135">
        <v>0</v>
      </c>
      <c r="P25" s="135">
        <v>0</v>
      </c>
      <c r="Q25" s="135">
        <v>0</v>
      </c>
      <c r="R25" s="135">
        <v>0</v>
      </c>
      <c r="S25" s="135">
        <v>0</v>
      </c>
      <c r="T25" s="135">
        <v>0</v>
      </c>
      <c r="U25" s="135">
        <v>0</v>
      </c>
      <c r="V25" s="135">
        <v>0</v>
      </c>
      <c r="W25" s="135">
        <v>0</v>
      </c>
      <c r="X25" s="135">
        <v>0</v>
      </c>
      <c r="Y25" s="135">
        <v>0</v>
      </c>
      <c r="Z25" s="135">
        <v>0</v>
      </c>
      <c r="AA25" s="135">
        <v>0</v>
      </c>
      <c r="AB25" s="135">
        <v>0</v>
      </c>
      <c r="AC25" s="135">
        <v>0</v>
      </c>
      <c r="AD25" s="135">
        <v>0</v>
      </c>
      <c r="AE25" s="135">
        <v>0</v>
      </c>
      <c r="AF25" s="135">
        <v>0</v>
      </c>
      <c r="AG25" s="135">
        <v>0</v>
      </c>
      <c r="AH25" s="135">
        <v>0</v>
      </c>
      <c r="AI25" s="135">
        <v>0</v>
      </c>
      <c r="AJ25" s="135">
        <v>0</v>
      </c>
      <c r="AK25" s="135">
        <v>0</v>
      </c>
      <c r="AL25" s="135">
        <v>0</v>
      </c>
      <c r="AM25" s="135">
        <v>0</v>
      </c>
      <c r="AN25" s="135">
        <v>0</v>
      </c>
      <c r="AO25" s="135">
        <v>0</v>
      </c>
      <c r="AP25" s="135">
        <v>0</v>
      </c>
      <c r="AQ25" s="135">
        <v>0</v>
      </c>
      <c r="AR25" s="135">
        <v>0</v>
      </c>
      <c r="AS25" s="135">
        <v>0</v>
      </c>
      <c r="AT25" s="135">
        <v>0</v>
      </c>
      <c r="AU25" s="135">
        <v>0</v>
      </c>
      <c r="AV25" s="135">
        <v>0</v>
      </c>
      <c r="AW25" s="135">
        <v>0</v>
      </c>
      <c r="AX25" s="135">
        <v>0</v>
      </c>
      <c r="AY25" s="135">
        <v>0</v>
      </c>
      <c r="AZ25" s="135">
        <v>0</v>
      </c>
      <c r="BA25" s="135">
        <v>0</v>
      </c>
      <c r="BB25" s="135">
        <v>0</v>
      </c>
      <c r="BC25" s="135">
        <v>0</v>
      </c>
      <c r="BD25" s="135">
        <v>0</v>
      </c>
      <c r="BE25" s="135">
        <v>0</v>
      </c>
      <c r="BF25" s="135">
        <v>0</v>
      </c>
      <c r="BG25" s="135">
        <v>0</v>
      </c>
      <c r="BH25" s="135">
        <v>0</v>
      </c>
      <c r="BI25" s="135">
        <v>0</v>
      </c>
      <c r="BJ25" s="135">
        <v>0</v>
      </c>
      <c r="BK25" s="98"/>
      <c r="BL25" s="77">
        <f t="shared" si="3"/>
        <v>0</v>
      </c>
    </row>
    <row r="26" spans="1:64" x14ac:dyDescent="0.25">
      <c r="A26" s="76">
        <v>3540</v>
      </c>
      <c r="B26" s="191">
        <v>220</v>
      </c>
      <c r="C26" s="192" t="s">
        <v>74</v>
      </c>
      <c r="D26" s="88"/>
      <c r="E26" s="135">
        <v>0</v>
      </c>
      <c r="F26" s="135">
        <v>0</v>
      </c>
      <c r="G26" s="135">
        <v>0</v>
      </c>
      <c r="H26" s="135">
        <v>0</v>
      </c>
      <c r="I26" s="135">
        <v>0</v>
      </c>
      <c r="J26" s="135">
        <v>0</v>
      </c>
      <c r="K26" s="135">
        <v>0</v>
      </c>
      <c r="L26" s="135">
        <v>0</v>
      </c>
      <c r="M26" s="135">
        <v>0</v>
      </c>
      <c r="N26" s="135">
        <v>0</v>
      </c>
      <c r="O26" s="135">
        <v>0</v>
      </c>
      <c r="P26" s="135">
        <v>0</v>
      </c>
      <c r="Q26" s="135">
        <v>0</v>
      </c>
      <c r="R26" s="135">
        <v>961182</v>
      </c>
      <c r="S26" s="135">
        <v>0</v>
      </c>
      <c r="T26" s="135">
        <v>0</v>
      </c>
      <c r="U26" s="135">
        <v>0</v>
      </c>
      <c r="V26" s="135">
        <v>0</v>
      </c>
      <c r="W26" s="135">
        <v>0</v>
      </c>
      <c r="X26" s="135">
        <v>0</v>
      </c>
      <c r="Y26" s="135">
        <v>0</v>
      </c>
      <c r="Z26" s="135">
        <v>0</v>
      </c>
      <c r="AA26" s="135">
        <v>0</v>
      </c>
      <c r="AB26" s="135">
        <v>0</v>
      </c>
      <c r="AC26" s="135">
        <v>0</v>
      </c>
      <c r="AD26" s="135">
        <v>0</v>
      </c>
      <c r="AE26" s="135">
        <v>0</v>
      </c>
      <c r="AF26" s="135">
        <v>0</v>
      </c>
      <c r="AG26" s="135">
        <v>0</v>
      </c>
      <c r="AH26" s="135">
        <v>0</v>
      </c>
      <c r="AI26" s="135">
        <v>0</v>
      </c>
      <c r="AJ26" s="135">
        <v>0</v>
      </c>
      <c r="AK26" s="135">
        <v>0</v>
      </c>
      <c r="AL26" s="135">
        <v>0</v>
      </c>
      <c r="AM26" s="135">
        <v>0</v>
      </c>
      <c r="AN26" s="135">
        <v>17124</v>
      </c>
      <c r="AO26" s="135">
        <v>0</v>
      </c>
      <c r="AP26" s="135">
        <v>0</v>
      </c>
      <c r="AQ26" s="135">
        <v>0</v>
      </c>
      <c r="AR26" s="135">
        <v>0</v>
      </c>
      <c r="AS26" s="135">
        <v>0</v>
      </c>
      <c r="AT26" s="135">
        <v>0</v>
      </c>
      <c r="AU26" s="135">
        <v>0</v>
      </c>
      <c r="AV26" s="135">
        <v>0</v>
      </c>
      <c r="AW26" s="135">
        <v>0</v>
      </c>
      <c r="AX26" s="135">
        <v>0</v>
      </c>
      <c r="AY26" s="135">
        <v>0</v>
      </c>
      <c r="AZ26" s="135">
        <v>0</v>
      </c>
      <c r="BA26" s="135">
        <v>0</v>
      </c>
      <c r="BB26" s="135">
        <v>0</v>
      </c>
      <c r="BC26" s="135">
        <v>0</v>
      </c>
      <c r="BD26" s="135">
        <v>0</v>
      </c>
      <c r="BE26" s="135">
        <v>0</v>
      </c>
      <c r="BF26" s="135">
        <v>0</v>
      </c>
      <c r="BG26" s="135">
        <v>34397</v>
      </c>
      <c r="BH26" s="135">
        <v>0</v>
      </c>
      <c r="BI26" s="135">
        <v>0</v>
      </c>
      <c r="BJ26" s="135">
        <v>0</v>
      </c>
      <c r="BK26" s="98"/>
      <c r="BL26" s="77">
        <f t="shared" si="3"/>
        <v>1012703</v>
      </c>
    </row>
    <row r="27" spans="1:64" x14ac:dyDescent="0.25">
      <c r="A27" s="76"/>
      <c r="B27" s="112"/>
      <c r="C27" s="192" t="s">
        <v>235</v>
      </c>
      <c r="D27" s="8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98"/>
      <c r="BL27" s="77">
        <f>SUM(E27:BK27)</f>
        <v>0</v>
      </c>
    </row>
    <row r="28" spans="1:64" x14ac:dyDescent="0.25">
      <c r="A28" s="76">
        <v>3570</v>
      </c>
      <c r="B28" s="112">
        <v>260</v>
      </c>
      <c r="C28" s="193" t="s">
        <v>236</v>
      </c>
      <c r="D28" s="88"/>
      <c r="E28" s="135">
        <v>0</v>
      </c>
      <c r="F28" s="135">
        <v>0</v>
      </c>
      <c r="G28" s="135">
        <v>0</v>
      </c>
      <c r="H28" s="135">
        <v>0</v>
      </c>
      <c r="I28" s="135">
        <v>0</v>
      </c>
      <c r="J28" s="135">
        <v>0</v>
      </c>
      <c r="K28" s="135">
        <v>0</v>
      </c>
      <c r="L28" s="135">
        <v>0</v>
      </c>
      <c r="M28" s="135">
        <v>0</v>
      </c>
      <c r="N28" s="135">
        <v>0</v>
      </c>
      <c r="O28" s="135">
        <v>0</v>
      </c>
      <c r="P28" s="135">
        <v>0</v>
      </c>
      <c r="Q28" s="135">
        <v>202082</v>
      </c>
      <c r="R28" s="135">
        <v>190000</v>
      </c>
      <c r="S28" s="135">
        <v>0</v>
      </c>
      <c r="T28" s="135">
        <v>0</v>
      </c>
      <c r="U28" s="135">
        <v>0</v>
      </c>
      <c r="V28" s="135">
        <v>0</v>
      </c>
      <c r="W28" s="135">
        <v>0</v>
      </c>
      <c r="X28" s="135">
        <v>0</v>
      </c>
      <c r="Y28" s="135">
        <v>0</v>
      </c>
      <c r="Z28" s="135">
        <v>0</v>
      </c>
      <c r="AA28" s="135">
        <v>0</v>
      </c>
      <c r="AB28" s="135">
        <v>0</v>
      </c>
      <c r="AC28" s="135">
        <v>0</v>
      </c>
      <c r="AD28" s="135">
        <v>0</v>
      </c>
      <c r="AE28" s="135">
        <v>0</v>
      </c>
      <c r="AF28" s="135">
        <v>0</v>
      </c>
      <c r="AG28" s="135">
        <v>0</v>
      </c>
      <c r="AH28" s="135">
        <v>0</v>
      </c>
      <c r="AI28" s="135">
        <v>0</v>
      </c>
      <c r="AJ28" s="135">
        <v>0</v>
      </c>
      <c r="AK28" s="135">
        <v>0</v>
      </c>
      <c r="AL28" s="135">
        <v>0</v>
      </c>
      <c r="AM28" s="135">
        <v>0</v>
      </c>
      <c r="AN28" s="135">
        <v>0</v>
      </c>
      <c r="AO28" s="135">
        <v>0</v>
      </c>
      <c r="AP28" s="135">
        <v>0</v>
      </c>
      <c r="AQ28" s="135">
        <v>0</v>
      </c>
      <c r="AR28" s="135">
        <v>0</v>
      </c>
      <c r="AS28" s="135">
        <v>0</v>
      </c>
      <c r="AT28" s="135">
        <v>0</v>
      </c>
      <c r="AU28" s="135">
        <v>0</v>
      </c>
      <c r="AV28" s="135">
        <v>0</v>
      </c>
      <c r="AW28" s="135">
        <v>0</v>
      </c>
      <c r="AX28" s="135">
        <v>0</v>
      </c>
      <c r="AY28" s="135">
        <v>0</v>
      </c>
      <c r="AZ28" s="135">
        <v>0</v>
      </c>
      <c r="BA28" s="135">
        <v>0</v>
      </c>
      <c r="BB28" s="135">
        <v>0</v>
      </c>
      <c r="BC28" s="135">
        <v>0</v>
      </c>
      <c r="BD28" s="135">
        <v>0</v>
      </c>
      <c r="BE28" s="135">
        <v>0</v>
      </c>
      <c r="BF28" s="135">
        <v>0</v>
      </c>
      <c r="BG28" s="135">
        <v>0</v>
      </c>
      <c r="BH28" s="135">
        <v>0</v>
      </c>
      <c r="BI28" s="135">
        <v>0</v>
      </c>
      <c r="BJ28" s="135">
        <v>0</v>
      </c>
      <c r="BK28" s="98"/>
      <c r="BL28" s="77">
        <f t="shared" si="3"/>
        <v>392082</v>
      </c>
    </row>
    <row r="29" spans="1:64" x14ac:dyDescent="0.25">
      <c r="A29" s="76">
        <v>3580</v>
      </c>
      <c r="B29" s="112">
        <v>261</v>
      </c>
      <c r="C29" s="193" t="s">
        <v>238</v>
      </c>
      <c r="D29" s="88"/>
      <c r="E29" s="135">
        <v>0</v>
      </c>
      <c r="F29" s="135">
        <v>0</v>
      </c>
      <c r="G29" s="135">
        <v>0</v>
      </c>
      <c r="H29" s="135">
        <v>0</v>
      </c>
      <c r="I29" s="135">
        <v>0</v>
      </c>
      <c r="J29" s="135">
        <v>0</v>
      </c>
      <c r="K29" s="135">
        <v>0</v>
      </c>
      <c r="L29" s="135">
        <v>0</v>
      </c>
      <c r="M29" s="135">
        <v>0</v>
      </c>
      <c r="N29" s="135">
        <v>56877</v>
      </c>
      <c r="O29" s="135">
        <v>0</v>
      </c>
      <c r="P29" s="135">
        <v>0</v>
      </c>
      <c r="Q29" s="135">
        <v>1188149</v>
      </c>
      <c r="R29" s="135">
        <v>0</v>
      </c>
      <c r="S29" s="139">
        <v>0</v>
      </c>
      <c r="T29" s="135">
        <v>0</v>
      </c>
      <c r="U29" s="139">
        <v>0</v>
      </c>
      <c r="V29" s="135">
        <v>0</v>
      </c>
      <c r="W29" s="135">
        <v>0</v>
      </c>
      <c r="X29" s="135">
        <v>0</v>
      </c>
      <c r="Y29" s="139">
        <v>0</v>
      </c>
      <c r="Z29" s="135">
        <v>0</v>
      </c>
      <c r="AA29" s="135">
        <v>0</v>
      </c>
      <c r="AB29" s="135">
        <v>0</v>
      </c>
      <c r="AC29" s="139">
        <v>0</v>
      </c>
      <c r="AD29" s="139">
        <v>0</v>
      </c>
      <c r="AE29" s="135">
        <v>0</v>
      </c>
      <c r="AF29" s="135">
        <v>0</v>
      </c>
      <c r="AG29" s="135">
        <v>0</v>
      </c>
      <c r="AH29" s="135">
        <v>0</v>
      </c>
      <c r="AI29" s="135">
        <v>0</v>
      </c>
      <c r="AJ29" s="135">
        <v>0</v>
      </c>
      <c r="AK29" s="139">
        <v>0</v>
      </c>
      <c r="AL29" s="139">
        <v>0</v>
      </c>
      <c r="AM29" s="135">
        <v>0</v>
      </c>
      <c r="AN29" s="135">
        <v>0</v>
      </c>
      <c r="AO29" s="139">
        <v>0</v>
      </c>
      <c r="AP29" s="135">
        <v>0</v>
      </c>
      <c r="AQ29" s="135">
        <v>0</v>
      </c>
      <c r="AR29" s="135">
        <v>0</v>
      </c>
      <c r="AS29" s="135">
        <v>0</v>
      </c>
      <c r="AT29" s="139">
        <v>0</v>
      </c>
      <c r="AU29" s="135">
        <v>0</v>
      </c>
      <c r="AV29" s="135">
        <v>0</v>
      </c>
      <c r="AW29" s="135">
        <v>0</v>
      </c>
      <c r="AX29" s="135">
        <v>0</v>
      </c>
      <c r="AY29" s="139">
        <v>0</v>
      </c>
      <c r="AZ29" s="135">
        <v>0</v>
      </c>
      <c r="BA29" s="135">
        <v>0</v>
      </c>
      <c r="BB29" s="135">
        <v>0</v>
      </c>
      <c r="BC29" s="135">
        <v>0</v>
      </c>
      <c r="BD29" s="139">
        <v>0</v>
      </c>
      <c r="BE29" s="135">
        <v>0</v>
      </c>
      <c r="BF29" s="139">
        <v>0</v>
      </c>
      <c r="BG29" s="135">
        <v>0</v>
      </c>
      <c r="BH29" s="135">
        <v>0</v>
      </c>
      <c r="BI29" s="135">
        <v>0</v>
      </c>
      <c r="BJ29" s="135">
        <v>0</v>
      </c>
      <c r="BK29" s="98"/>
      <c r="BL29" s="140">
        <f t="shared" si="3"/>
        <v>1245026</v>
      </c>
    </row>
    <row r="30" spans="1:64" x14ac:dyDescent="0.25">
      <c r="A30" s="76"/>
      <c r="B30" s="77"/>
      <c r="C30" s="109" t="s">
        <v>82</v>
      </c>
      <c r="D30" s="77"/>
      <c r="E30" s="127">
        <f t="shared" ref="E30:BJ30" si="4">SUM(E20:E29)</f>
        <v>195900</v>
      </c>
      <c r="F30" s="127">
        <f t="shared" si="4"/>
        <v>3109</v>
      </c>
      <c r="G30" s="127">
        <f t="shared" si="4"/>
        <v>14416</v>
      </c>
      <c r="H30" s="127">
        <f t="shared" si="4"/>
        <v>0</v>
      </c>
      <c r="I30" s="127">
        <f t="shared" si="4"/>
        <v>0</v>
      </c>
      <c r="J30" s="127">
        <f t="shared" si="4"/>
        <v>2723</v>
      </c>
      <c r="K30" s="127">
        <f t="shared" si="4"/>
        <v>273013</v>
      </c>
      <c r="L30" s="127">
        <f t="shared" si="4"/>
        <v>0</v>
      </c>
      <c r="M30" s="127">
        <f t="shared" si="4"/>
        <v>517031</v>
      </c>
      <c r="N30" s="127">
        <f t="shared" si="4"/>
        <v>63474</v>
      </c>
      <c r="O30" s="127">
        <f t="shared" si="4"/>
        <v>2910</v>
      </c>
      <c r="P30" s="127">
        <f t="shared" si="4"/>
        <v>39356</v>
      </c>
      <c r="Q30" s="127">
        <f t="shared" si="4"/>
        <v>1531753</v>
      </c>
      <c r="R30" s="127">
        <f t="shared" si="4"/>
        <v>1152448</v>
      </c>
      <c r="S30" s="127">
        <f t="shared" si="4"/>
        <v>0</v>
      </c>
      <c r="T30" s="127">
        <f t="shared" si="4"/>
        <v>318833</v>
      </c>
      <c r="U30" s="127">
        <f t="shared" si="4"/>
        <v>0</v>
      </c>
      <c r="V30" s="127">
        <f t="shared" si="4"/>
        <v>600</v>
      </c>
      <c r="W30" s="127">
        <f t="shared" si="4"/>
        <v>193383.84</v>
      </c>
      <c r="X30" s="127">
        <f t="shared" si="4"/>
        <v>66703</v>
      </c>
      <c r="Y30" s="127">
        <f t="shared" si="4"/>
        <v>0</v>
      </c>
      <c r="Z30" s="127">
        <f t="shared" si="4"/>
        <v>25025</v>
      </c>
      <c r="AA30" s="127">
        <f t="shared" si="4"/>
        <v>0</v>
      </c>
      <c r="AB30" s="127">
        <f t="shared" si="4"/>
        <v>78368</v>
      </c>
      <c r="AC30" s="127">
        <f t="shared" si="4"/>
        <v>0</v>
      </c>
      <c r="AD30" s="127">
        <f t="shared" si="4"/>
        <v>0</v>
      </c>
      <c r="AE30" s="127">
        <f t="shared" si="4"/>
        <v>0</v>
      </c>
      <c r="AF30" s="127">
        <f t="shared" si="4"/>
        <v>9</v>
      </c>
      <c r="AG30" s="127">
        <f t="shared" si="4"/>
        <v>443178</v>
      </c>
      <c r="AH30" s="127">
        <f t="shared" si="4"/>
        <v>2854</v>
      </c>
      <c r="AI30" s="127">
        <f t="shared" si="4"/>
        <v>0</v>
      </c>
      <c r="AJ30" s="127">
        <f t="shared" si="4"/>
        <v>172055</v>
      </c>
      <c r="AK30" s="127">
        <f t="shared" si="4"/>
        <v>0</v>
      </c>
      <c r="AL30" s="127">
        <f t="shared" si="4"/>
        <v>0</v>
      </c>
      <c r="AM30" s="127">
        <f t="shared" si="4"/>
        <v>0</v>
      </c>
      <c r="AN30" s="127">
        <f t="shared" si="4"/>
        <v>26764</v>
      </c>
      <c r="AO30" s="127">
        <f t="shared" si="4"/>
        <v>0</v>
      </c>
      <c r="AP30" s="127">
        <f t="shared" si="4"/>
        <v>74226</v>
      </c>
      <c r="AQ30" s="127">
        <f t="shared" si="4"/>
        <v>98938</v>
      </c>
      <c r="AR30" s="127">
        <f t="shared" si="4"/>
        <v>2919</v>
      </c>
      <c r="AS30" s="127">
        <f t="shared" si="4"/>
        <v>1331</v>
      </c>
      <c r="AT30" s="127">
        <f t="shared" si="4"/>
        <v>0</v>
      </c>
      <c r="AU30" s="127">
        <f t="shared" si="4"/>
        <v>164158.43</v>
      </c>
      <c r="AV30" s="127">
        <f t="shared" si="4"/>
        <v>0</v>
      </c>
      <c r="AW30" s="127">
        <f t="shared" si="4"/>
        <v>387216</v>
      </c>
      <c r="AX30" s="127">
        <f t="shared" si="4"/>
        <v>0</v>
      </c>
      <c r="AY30" s="127">
        <f t="shared" si="4"/>
        <v>0</v>
      </c>
      <c r="AZ30" s="127">
        <f t="shared" si="4"/>
        <v>0</v>
      </c>
      <c r="BA30" s="127">
        <f t="shared" si="4"/>
        <v>0</v>
      </c>
      <c r="BB30" s="127">
        <f t="shared" si="4"/>
        <v>0</v>
      </c>
      <c r="BC30" s="127">
        <f t="shared" si="4"/>
        <v>33859</v>
      </c>
      <c r="BD30" s="127">
        <f t="shared" si="4"/>
        <v>0</v>
      </c>
      <c r="BE30" s="127">
        <f t="shared" si="4"/>
        <v>2023</v>
      </c>
      <c r="BF30" s="127">
        <f t="shared" si="4"/>
        <v>0</v>
      </c>
      <c r="BG30" s="127">
        <f t="shared" si="4"/>
        <v>34397</v>
      </c>
      <c r="BH30" s="127">
        <f t="shared" si="4"/>
        <v>0</v>
      </c>
      <c r="BI30" s="127">
        <f t="shared" si="4"/>
        <v>135012</v>
      </c>
      <c r="BJ30" s="127">
        <f t="shared" si="4"/>
        <v>19795</v>
      </c>
      <c r="BK30" s="99"/>
      <c r="BL30" s="142">
        <f>SUM(BL20:BL29)</f>
        <v>6077780.2699999996</v>
      </c>
    </row>
    <row r="31" spans="1:64" x14ac:dyDescent="0.25">
      <c r="A31" s="76"/>
      <c r="B31" s="77"/>
      <c r="C31" s="88"/>
      <c r="D31" s="92"/>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0"/>
    </row>
    <row r="32" spans="1:64" x14ac:dyDescent="0.25">
      <c r="A32" s="76"/>
      <c r="B32" s="77"/>
      <c r="C32" s="109" t="s">
        <v>240</v>
      </c>
      <c r="D32" s="92"/>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0"/>
    </row>
    <row r="33" spans="1:64" x14ac:dyDescent="0.25">
      <c r="A33" s="76">
        <v>3630</v>
      </c>
      <c r="B33" s="77"/>
      <c r="C33" s="194" t="s">
        <v>599</v>
      </c>
      <c r="D33" s="92"/>
      <c r="E33" s="135">
        <v>0</v>
      </c>
      <c r="F33" s="135">
        <v>0</v>
      </c>
      <c r="G33" s="135">
        <v>0</v>
      </c>
      <c r="H33" s="135">
        <v>0</v>
      </c>
      <c r="I33" s="135">
        <v>0</v>
      </c>
      <c r="J33" s="135">
        <v>16656</v>
      </c>
      <c r="K33" s="135">
        <v>0</v>
      </c>
      <c r="L33" s="135">
        <v>36407</v>
      </c>
      <c r="M33" s="135">
        <v>0</v>
      </c>
      <c r="N33" s="135">
        <v>1062495</v>
      </c>
      <c r="O33" s="135">
        <v>520491</v>
      </c>
      <c r="P33" s="135">
        <v>0</v>
      </c>
      <c r="Q33" s="135">
        <v>1938144</v>
      </c>
      <c r="R33" s="135">
        <v>-27857</v>
      </c>
      <c r="S33" s="135">
        <v>0</v>
      </c>
      <c r="T33" s="135">
        <v>0</v>
      </c>
      <c r="U33" s="135">
        <v>0</v>
      </c>
      <c r="V33" s="135">
        <v>3490794</v>
      </c>
      <c r="W33" s="135">
        <v>0</v>
      </c>
      <c r="X33" s="135">
        <v>0</v>
      </c>
      <c r="Y33" s="135">
        <v>0</v>
      </c>
      <c r="Z33" s="135">
        <v>0</v>
      </c>
      <c r="AA33" s="135">
        <v>12825</v>
      </c>
      <c r="AB33" s="135">
        <v>1686744</v>
      </c>
      <c r="AC33" s="135">
        <v>0</v>
      </c>
      <c r="AD33" s="135">
        <v>0</v>
      </c>
      <c r="AE33" s="135">
        <v>0</v>
      </c>
      <c r="AF33" s="135">
        <v>0</v>
      </c>
      <c r="AG33" s="135">
        <v>778790</v>
      </c>
      <c r="AH33" s="135">
        <v>1179531</v>
      </c>
      <c r="AI33" s="135">
        <v>82686</v>
      </c>
      <c r="AJ33" s="135">
        <v>0</v>
      </c>
      <c r="AK33" s="135">
        <v>0</v>
      </c>
      <c r="AL33" s="135">
        <v>0</v>
      </c>
      <c r="AM33" s="135">
        <v>0</v>
      </c>
      <c r="AN33" s="135">
        <v>0</v>
      </c>
      <c r="AO33" s="135">
        <v>0</v>
      </c>
      <c r="AP33" s="135">
        <v>4966</v>
      </c>
      <c r="AQ33" s="135">
        <v>0</v>
      </c>
      <c r="AR33" s="135">
        <v>0</v>
      </c>
      <c r="AS33" s="135">
        <v>0</v>
      </c>
      <c r="AT33" s="135">
        <v>0</v>
      </c>
      <c r="AU33" s="135">
        <v>0</v>
      </c>
      <c r="AV33" s="135">
        <v>0</v>
      </c>
      <c r="AW33" s="135">
        <v>1812435</v>
      </c>
      <c r="AX33" s="135">
        <v>0</v>
      </c>
      <c r="AY33" s="135">
        <v>0</v>
      </c>
      <c r="AZ33" s="135">
        <v>0</v>
      </c>
      <c r="BA33" s="135">
        <v>0</v>
      </c>
      <c r="BB33" s="135">
        <v>582871</v>
      </c>
      <c r="BC33" s="135">
        <v>1773948</v>
      </c>
      <c r="BD33" s="135">
        <v>0</v>
      </c>
      <c r="BE33" s="135">
        <v>0</v>
      </c>
      <c r="BF33" s="135">
        <v>0</v>
      </c>
      <c r="BG33" s="135">
        <v>198094</v>
      </c>
      <c r="BH33" s="135">
        <v>0</v>
      </c>
      <c r="BI33" s="135">
        <v>301185</v>
      </c>
      <c r="BJ33" s="135">
        <v>2999017</v>
      </c>
      <c r="BK33" s="98"/>
      <c r="BL33" s="77">
        <f t="shared" ref="BL33:BL38" si="5">SUM(E33:BK33)</f>
        <v>18450222</v>
      </c>
    </row>
    <row r="34" spans="1:64" x14ac:dyDescent="0.25">
      <c r="A34" s="76"/>
      <c r="B34" s="77"/>
      <c r="C34" s="194" t="s">
        <v>243</v>
      </c>
      <c r="D34" s="92"/>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98"/>
      <c r="BL34" s="77">
        <f t="shared" si="5"/>
        <v>0</v>
      </c>
    </row>
    <row r="35" spans="1:64" x14ac:dyDescent="0.25">
      <c r="A35" s="76"/>
      <c r="B35" s="77"/>
      <c r="C35" s="192" t="s">
        <v>244</v>
      </c>
      <c r="D35" s="88"/>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98"/>
      <c r="BL35" s="77">
        <f t="shared" si="5"/>
        <v>0</v>
      </c>
    </row>
    <row r="36" spans="1:64" x14ac:dyDescent="0.25">
      <c r="A36" s="76">
        <v>3640</v>
      </c>
      <c r="B36" s="77"/>
      <c r="C36" s="193" t="s">
        <v>245</v>
      </c>
      <c r="D36" s="88"/>
      <c r="E36" s="135">
        <v>0</v>
      </c>
      <c r="F36" s="135">
        <v>2773612.4</v>
      </c>
      <c r="G36" s="135">
        <v>4598971</v>
      </c>
      <c r="H36" s="135">
        <v>0</v>
      </c>
      <c r="I36" s="135">
        <v>816228</v>
      </c>
      <c r="J36" s="135">
        <v>12647296</v>
      </c>
      <c r="K36" s="135">
        <v>4982728</v>
      </c>
      <c r="L36" s="135">
        <v>0</v>
      </c>
      <c r="M36" s="135">
        <v>18242161</v>
      </c>
      <c r="N36" s="135">
        <v>0</v>
      </c>
      <c r="O36" s="135">
        <v>5659893</v>
      </c>
      <c r="P36" s="135">
        <v>10895878</v>
      </c>
      <c r="Q36" s="135">
        <v>62875652</v>
      </c>
      <c r="R36" s="135">
        <v>1118150</v>
      </c>
      <c r="S36" s="135">
        <v>0</v>
      </c>
      <c r="T36" s="135">
        <v>0</v>
      </c>
      <c r="U36" s="135">
        <v>0</v>
      </c>
      <c r="V36" s="135">
        <v>0</v>
      </c>
      <c r="W36" s="135">
        <v>0</v>
      </c>
      <c r="X36" s="135">
        <v>3562925</v>
      </c>
      <c r="Y36" s="135">
        <v>0</v>
      </c>
      <c r="Z36" s="135">
        <v>6973632</v>
      </c>
      <c r="AA36" s="135">
        <v>0</v>
      </c>
      <c r="AB36" s="135">
        <v>4756876</v>
      </c>
      <c r="AC36" s="135">
        <v>0</v>
      </c>
      <c r="AD36" s="135">
        <v>0</v>
      </c>
      <c r="AE36" s="135">
        <v>0</v>
      </c>
      <c r="AF36" s="135">
        <v>1276619</v>
      </c>
      <c r="AG36" s="135">
        <v>0</v>
      </c>
      <c r="AH36" s="135">
        <v>5873063</v>
      </c>
      <c r="AI36" s="135">
        <v>0</v>
      </c>
      <c r="AJ36" s="135">
        <v>6750202</v>
      </c>
      <c r="AK36" s="135">
        <v>0</v>
      </c>
      <c r="AL36" s="135">
        <v>0</v>
      </c>
      <c r="AM36" s="135">
        <v>4601067</v>
      </c>
      <c r="AN36" s="135">
        <v>8476846</v>
      </c>
      <c r="AO36" s="135">
        <v>0</v>
      </c>
      <c r="AP36" s="135">
        <v>0</v>
      </c>
      <c r="AQ36" s="135">
        <v>6366148</v>
      </c>
      <c r="AR36" s="135">
        <v>5139014</v>
      </c>
      <c r="AS36" s="135">
        <v>5756405</v>
      </c>
      <c r="AT36" s="135">
        <v>0</v>
      </c>
      <c r="AU36" s="135">
        <v>0</v>
      </c>
      <c r="AV36" s="135">
        <v>0</v>
      </c>
      <c r="AW36" s="135">
        <v>3102361</v>
      </c>
      <c r="AX36" s="135">
        <v>0</v>
      </c>
      <c r="AY36" s="135">
        <v>0</v>
      </c>
      <c r="AZ36" s="135">
        <v>5974813</v>
      </c>
      <c r="BA36" s="135">
        <v>7085318</v>
      </c>
      <c r="BB36" s="135">
        <v>1426754</v>
      </c>
      <c r="BC36" s="135">
        <v>0</v>
      </c>
      <c r="BD36" s="135">
        <v>137068</v>
      </c>
      <c r="BE36" s="135">
        <v>7005265</v>
      </c>
      <c r="BF36" s="135">
        <v>0</v>
      </c>
      <c r="BG36" s="135">
        <v>0</v>
      </c>
      <c r="BH36" s="135">
        <v>0</v>
      </c>
      <c r="BI36" s="135">
        <v>0</v>
      </c>
      <c r="BJ36" s="135">
        <v>3546285</v>
      </c>
      <c r="BK36" s="98"/>
      <c r="BL36" s="77">
        <f>SUM(E36:BK36)</f>
        <v>212421230.40000001</v>
      </c>
    </row>
    <row r="37" spans="1:64" x14ac:dyDescent="0.25">
      <c r="A37" s="76"/>
      <c r="B37" s="77"/>
      <c r="C37" s="192" t="s">
        <v>248</v>
      </c>
      <c r="D37" s="88"/>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98"/>
      <c r="BL37" s="77">
        <f t="shared" si="5"/>
        <v>0</v>
      </c>
    </row>
    <row r="38" spans="1:64" x14ac:dyDescent="0.25">
      <c r="A38" s="76">
        <v>3650</v>
      </c>
      <c r="B38" s="77"/>
      <c r="C38" s="193" t="s">
        <v>245</v>
      </c>
      <c r="D38" s="88"/>
      <c r="E38" s="135">
        <v>0</v>
      </c>
      <c r="F38" s="135">
        <v>1493483.6</v>
      </c>
      <c r="G38" s="135">
        <v>10018068</v>
      </c>
      <c r="H38" s="135">
        <v>0</v>
      </c>
      <c r="I38" s="135">
        <v>512037</v>
      </c>
      <c r="J38" s="135">
        <v>4016866</v>
      </c>
      <c r="K38" s="135">
        <v>1143043</v>
      </c>
      <c r="L38" s="135">
        <v>0</v>
      </c>
      <c r="M38" s="135">
        <v>9801118</v>
      </c>
      <c r="N38" s="135">
        <v>0</v>
      </c>
      <c r="O38" s="135">
        <v>2672970</v>
      </c>
      <c r="P38" s="135">
        <v>0</v>
      </c>
      <c r="Q38" s="135">
        <v>22872850</v>
      </c>
      <c r="R38" s="135">
        <v>1762311</v>
      </c>
      <c r="S38" s="135">
        <v>0</v>
      </c>
      <c r="T38" s="135">
        <v>0</v>
      </c>
      <c r="U38" s="135">
        <v>0</v>
      </c>
      <c r="V38" s="135">
        <v>0</v>
      </c>
      <c r="W38" s="135">
        <v>0</v>
      </c>
      <c r="X38" s="135">
        <v>375445</v>
      </c>
      <c r="Y38" s="135">
        <v>0</v>
      </c>
      <c r="Z38" s="135">
        <v>4905562</v>
      </c>
      <c r="AA38" s="135">
        <v>0</v>
      </c>
      <c r="AB38" s="135">
        <v>5076188</v>
      </c>
      <c r="AC38" s="135">
        <v>0</v>
      </c>
      <c r="AD38" s="135">
        <v>0</v>
      </c>
      <c r="AE38" s="135">
        <v>3385476</v>
      </c>
      <c r="AF38" s="135">
        <v>1136043</v>
      </c>
      <c r="AG38" s="135">
        <v>-778790</v>
      </c>
      <c r="AH38" s="135">
        <v>2387802</v>
      </c>
      <c r="AI38" s="135">
        <v>0</v>
      </c>
      <c r="AJ38" s="135">
        <v>5820695</v>
      </c>
      <c r="AK38" s="135">
        <v>0</v>
      </c>
      <c r="AL38" s="135">
        <v>0</v>
      </c>
      <c r="AM38" s="135">
        <v>254851</v>
      </c>
      <c r="AN38" s="135">
        <v>3789158</v>
      </c>
      <c r="AO38" s="135">
        <v>0</v>
      </c>
      <c r="AP38" s="135">
        <v>-4966</v>
      </c>
      <c r="AQ38" s="135">
        <v>2426392</v>
      </c>
      <c r="AR38" s="135">
        <v>7936988</v>
      </c>
      <c r="AS38" s="135">
        <v>0</v>
      </c>
      <c r="AT38" s="135">
        <v>0</v>
      </c>
      <c r="AU38" s="135">
        <v>0</v>
      </c>
      <c r="AV38" s="135">
        <v>0</v>
      </c>
      <c r="AW38" s="135">
        <v>3132027</v>
      </c>
      <c r="AX38" s="135">
        <v>0</v>
      </c>
      <c r="AY38" s="135">
        <v>0</v>
      </c>
      <c r="AZ38" s="135">
        <v>0</v>
      </c>
      <c r="BA38" s="135">
        <v>1475602</v>
      </c>
      <c r="BB38" s="135">
        <v>2742252</v>
      </c>
      <c r="BC38" s="135">
        <v>0</v>
      </c>
      <c r="BD38" s="135">
        <v>363787</v>
      </c>
      <c r="BE38" s="135">
        <v>3010824</v>
      </c>
      <c r="BF38" s="135">
        <v>0</v>
      </c>
      <c r="BG38" s="135">
        <v>0</v>
      </c>
      <c r="BH38" s="135">
        <v>0</v>
      </c>
      <c r="BI38" s="135">
        <v>8835552</v>
      </c>
      <c r="BJ38" s="135">
        <v>0</v>
      </c>
      <c r="BK38" s="98"/>
      <c r="BL38" s="77">
        <f t="shared" si="5"/>
        <v>110563634.59999999</v>
      </c>
    </row>
    <row r="39" spans="1:64" x14ac:dyDescent="0.25">
      <c r="A39" s="76">
        <v>3680</v>
      </c>
      <c r="B39" s="77"/>
      <c r="C39" s="194" t="s">
        <v>250</v>
      </c>
      <c r="D39" s="88"/>
      <c r="E39" s="135">
        <v>17441132</v>
      </c>
      <c r="F39" s="135">
        <v>657659</v>
      </c>
      <c r="G39" s="135">
        <v>2277365</v>
      </c>
      <c r="H39" s="135">
        <v>0</v>
      </c>
      <c r="I39" s="135">
        <v>317706</v>
      </c>
      <c r="J39" s="135">
        <v>1539628</v>
      </c>
      <c r="K39" s="135">
        <v>1746884</v>
      </c>
      <c r="L39" s="135">
        <v>28877553</v>
      </c>
      <c r="M39" s="135">
        <v>1084348</v>
      </c>
      <c r="N39" s="135">
        <v>6684094</v>
      </c>
      <c r="O39" s="135">
        <v>1473668</v>
      </c>
      <c r="P39" s="135">
        <v>3739802</v>
      </c>
      <c r="Q39" s="135">
        <v>10508093</v>
      </c>
      <c r="R39" s="135">
        <v>682821</v>
      </c>
      <c r="S39" s="135">
        <v>0</v>
      </c>
      <c r="T39" s="135">
        <v>11370359</v>
      </c>
      <c r="U39" s="135">
        <v>0</v>
      </c>
      <c r="V39" s="135">
        <v>25823991</v>
      </c>
      <c r="W39" s="135">
        <v>21086177.649999999</v>
      </c>
      <c r="X39" s="135">
        <v>0</v>
      </c>
      <c r="Y39" s="135">
        <v>0</v>
      </c>
      <c r="Z39" s="135">
        <v>3722864</v>
      </c>
      <c r="AA39" s="135">
        <v>12115</v>
      </c>
      <c r="AB39" s="135">
        <v>8043316</v>
      </c>
      <c r="AC39" s="135">
        <v>0</v>
      </c>
      <c r="AD39" s="135">
        <v>0</v>
      </c>
      <c r="AE39" s="135">
        <v>580247</v>
      </c>
      <c r="AF39" s="135">
        <v>281233</v>
      </c>
      <c r="AG39" s="135">
        <v>14490899</v>
      </c>
      <c r="AH39" s="135">
        <v>4508445</v>
      </c>
      <c r="AI39" s="135">
        <v>382744</v>
      </c>
      <c r="AJ39" s="135">
        <v>513079</v>
      </c>
      <c r="AK39" s="135">
        <v>0</v>
      </c>
      <c r="AL39" s="135">
        <v>0</v>
      </c>
      <c r="AM39" s="135">
        <v>165815</v>
      </c>
      <c r="AN39" s="135">
        <v>323507</v>
      </c>
      <c r="AO39" s="135">
        <v>0</v>
      </c>
      <c r="AP39" s="135">
        <v>2381418</v>
      </c>
      <c r="AQ39" s="135">
        <v>102813</v>
      </c>
      <c r="AR39" s="135">
        <v>2611731</v>
      </c>
      <c r="AS39" s="135">
        <v>802091</v>
      </c>
      <c r="AT39" s="135">
        <v>0</v>
      </c>
      <c r="AU39" s="135">
        <v>4442503.26</v>
      </c>
      <c r="AV39" s="135">
        <v>22548969</v>
      </c>
      <c r="AW39" s="135">
        <v>3078273</v>
      </c>
      <c r="AX39" s="135">
        <v>5294744</v>
      </c>
      <c r="AY39" s="135">
        <v>0</v>
      </c>
      <c r="AZ39" s="135">
        <v>3773962</v>
      </c>
      <c r="BA39" s="135">
        <v>341363</v>
      </c>
      <c r="BB39" s="135">
        <v>117636</v>
      </c>
      <c r="BC39" s="135">
        <v>16441785</v>
      </c>
      <c r="BD39" s="135">
        <v>0</v>
      </c>
      <c r="BE39" s="135">
        <v>526536</v>
      </c>
      <c r="BF39" s="135">
        <v>0</v>
      </c>
      <c r="BG39" s="135">
        <v>12870732</v>
      </c>
      <c r="BH39" s="135">
        <v>4419877</v>
      </c>
      <c r="BI39" s="135">
        <v>5026935</v>
      </c>
      <c r="BJ39" s="135">
        <v>307575</v>
      </c>
      <c r="BK39" s="98"/>
      <c r="BL39" s="77">
        <f>SUM(E39:BK39)</f>
        <v>253424487.91</v>
      </c>
    </row>
    <row r="40" spans="1:64" ht="13.8" thickBot="1" x14ac:dyDescent="0.3">
      <c r="A40" s="76"/>
      <c r="B40" s="77"/>
      <c r="C40" s="109" t="s">
        <v>253</v>
      </c>
      <c r="D40" s="88"/>
      <c r="E40" s="124">
        <f>SUM(E33:E39)</f>
        <v>17441132</v>
      </c>
      <c r="F40" s="124">
        <f t="shared" ref="F40:BJ40" si="6">SUM(F33:F39)</f>
        <v>4924755</v>
      </c>
      <c r="G40" s="124">
        <f t="shared" si="6"/>
        <v>16894404</v>
      </c>
      <c r="H40" s="124">
        <f t="shared" si="6"/>
        <v>0</v>
      </c>
      <c r="I40" s="124">
        <f t="shared" si="6"/>
        <v>1645971</v>
      </c>
      <c r="J40" s="124">
        <f t="shared" si="6"/>
        <v>18220446</v>
      </c>
      <c r="K40" s="124">
        <f t="shared" si="6"/>
        <v>7872655</v>
      </c>
      <c r="L40" s="124">
        <f t="shared" si="6"/>
        <v>28913960</v>
      </c>
      <c r="M40" s="124">
        <f t="shared" si="6"/>
        <v>29127627</v>
      </c>
      <c r="N40" s="124">
        <f>SUM(N33:N39)</f>
        <v>7746589</v>
      </c>
      <c r="O40" s="124">
        <f t="shared" si="6"/>
        <v>10327022</v>
      </c>
      <c r="P40" s="124">
        <f t="shared" si="6"/>
        <v>14635680</v>
      </c>
      <c r="Q40" s="124">
        <f t="shared" si="6"/>
        <v>98194739</v>
      </c>
      <c r="R40" s="124">
        <f t="shared" si="6"/>
        <v>3535425</v>
      </c>
      <c r="S40" s="124">
        <f t="shared" si="6"/>
        <v>0</v>
      </c>
      <c r="T40" s="124">
        <f t="shared" si="6"/>
        <v>11370359</v>
      </c>
      <c r="U40" s="124">
        <f t="shared" si="6"/>
        <v>0</v>
      </c>
      <c r="V40" s="124">
        <f t="shared" si="6"/>
        <v>29314785</v>
      </c>
      <c r="W40" s="124">
        <f t="shared" si="6"/>
        <v>21086177.649999999</v>
      </c>
      <c r="X40" s="124">
        <f t="shared" si="6"/>
        <v>3938370</v>
      </c>
      <c r="Y40" s="124">
        <f t="shared" si="6"/>
        <v>0</v>
      </c>
      <c r="Z40" s="124">
        <f t="shared" si="6"/>
        <v>15602058</v>
      </c>
      <c r="AA40" s="124">
        <f t="shared" si="6"/>
        <v>24940</v>
      </c>
      <c r="AB40" s="124">
        <f t="shared" si="6"/>
        <v>19563124</v>
      </c>
      <c r="AC40" s="124">
        <f t="shared" si="6"/>
        <v>0</v>
      </c>
      <c r="AD40" s="124">
        <f t="shared" si="6"/>
        <v>0</v>
      </c>
      <c r="AE40" s="124">
        <f t="shared" si="6"/>
        <v>3965723</v>
      </c>
      <c r="AF40" s="124">
        <f t="shared" si="6"/>
        <v>2693895</v>
      </c>
      <c r="AG40" s="124">
        <f t="shared" si="6"/>
        <v>14490899</v>
      </c>
      <c r="AH40" s="124">
        <f t="shared" si="6"/>
        <v>13948841</v>
      </c>
      <c r="AI40" s="124">
        <f t="shared" si="6"/>
        <v>465430</v>
      </c>
      <c r="AJ40" s="124">
        <f t="shared" si="6"/>
        <v>13083976</v>
      </c>
      <c r="AK40" s="124">
        <f t="shared" si="6"/>
        <v>0</v>
      </c>
      <c r="AL40" s="124">
        <f t="shared" si="6"/>
        <v>0</v>
      </c>
      <c r="AM40" s="124">
        <f t="shared" si="6"/>
        <v>5021733</v>
      </c>
      <c r="AN40" s="124">
        <f t="shared" si="6"/>
        <v>12589511</v>
      </c>
      <c r="AO40" s="124">
        <f t="shared" si="6"/>
        <v>0</v>
      </c>
      <c r="AP40" s="124">
        <f t="shared" si="6"/>
        <v>2381418</v>
      </c>
      <c r="AQ40" s="124">
        <f t="shared" si="6"/>
        <v>8895353</v>
      </c>
      <c r="AR40" s="124">
        <f t="shared" si="6"/>
        <v>15687733</v>
      </c>
      <c r="AS40" s="124">
        <f t="shared" si="6"/>
        <v>6558496</v>
      </c>
      <c r="AT40" s="124">
        <f t="shared" si="6"/>
        <v>0</v>
      </c>
      <c r="AU40" s="124">
        <f t="shared" si="6"/>
        <v>4442503.26</v>
      </c>
      <c r="AV40" s="124">
        <f t="shared" si="6"/>
        <v>22548969</v>
      </c>
      <c r="AW40" s="124">
        <f t="shared" si="6"/>
        <v>11125096</v>
      </c>
      <c r="AX40" s="124">
        <f t="shared" si="6"/>
        <v>5294744</v>
      </c>
      <c r="AY40" s="124">
        <f t="shared" si="6"/>
        <v>0</v>
      </c>
      <c r="AZ40" s="124">
        <f t="shared" si="6"/>
        <v>9748775</v>
      </c>
      <c r="BA40" s="124">
        <f t="shared" si="6"/>
        <v>8902283</v>
      </c>
      <c r="BB40" s="124">
        <f t="shared" si="6"/>
        <v>4869513</v>
      </c>
      <c r="BC40" s="124">
        <f t="shared" si="6"/>
        <v>18215733</v>
      </c>
      <c r="BD40" s="124">
        <f>SUM(BD33:BD39)</f>
        <v>500855</v>
      </c>
      <c r="BE40" s="124">
        <f t="shared" si="6"/>
        <v>10542625</v>
      </c>
      <c r="BF40" s="124">
        <f t="shared" si="6"/>
        <v>0</v>
      </c>
      <c r="BG40" s="124">
        <f t="shared" si="6"/>
        <v>13068826</v>
      </c>
      <c r="BH40" s="124">
        <f t="shared" si="6"/>
        <v>4419877</v>
      </c>
      <c r="BI40" s="124">
        <f t="shared" si="6"/>
        <v>14163672</v>
      </c>
      <c r="BJ40" s="124">
        <f t="shared" si="6"/>
        <v>6852877</v>
      </c>
      <c r="BK40" s="124"/>
      <c r="BL40" s="124">
        <f>SUM(BL33:BL39)</f>
        <v>594859574.90999997</v>
      </c>
    </row>
    <row r="41" spans="1:64" ht="13.8" thickTop="1" x14ac:dyDescent="0.25">
      <c r="A41" s="76"/>
      <c r="B41" s="77"/>
      <c r="C41" s="88"/>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0"/>
    </row>
    <row r="42" spans="1:64" x14ac:dyDescent="0.25">
      <c r="A42" s="76"/>
      <c r="B42" s="77"/>
      <c r="C42" s="79"/>
      <c r="D42" s="100"/>
      <c r="E42" s="101" t="str">
        <f>IF(E17-E30=E40,"In Balance",E40+E30-E17)</f>
        <v>In Balance</v>
      </c>
      <c r="F42" s="101" t="str">
        <f t="shared" ref="F42:BL42" si="7">IF(F17-F30=F40,"In Balance",F40+F30-F17)</f>
        <v>In Balance</v>
      </c>
      <c r="G42" s="101" t="str">
        <f t="shared" si="7"/>
        <v>In Balance</v>
      </c>
      <c r="H42" s="101" t="str">
        <f>IF(H17-H30=H40,"In Balance",H40+H30-H17)</f>
        <v>In Balance</v>
      </c>
      <c r="I42" s="101" t="str">
        <f t="shared" si="7"/>
        <v>In Balance</v>
      </c>
      <c r="J42" s="101" t="str">
        <f t="shared" si="7"/>
        <v>In Balance</v>
      </c>
      <c r="K42" s="101" t="str">
        <f t="shared" si="7"/>
        <v>In Balance</v>
      </c>
      <c r="L42" s="101" t="str">
        <f t="shared" si="7"/>
        <v>In Balance</v>
      </c>
      <c r="M42" s="101" t="str">
        <f>IF(M17-M30=M40,"In Balance",M40+M30-M17)</f>
        <v>In Balance</v>
      </c>
      <c r="N42" s="101" t="str">
        <f t="shared" si="7"/>
        <v>In Balance</v>
      </c>
      <c r="O42" s="101" t="str">
        <f t="shared" si="7"/>
        <v>In Balance</v>
      </c>
      <c r="P42" s="101" t="str">
        <f t="shared" si="7"/>
        <v>In Balance</v>
      </c>
      <c r="Q42" s="101" t="str">
        <f t="shared" si="7"/>
        <v>In Balance</v>
      </c>
      <c r="R42" s="101" t="str">
        <f t="shared" si="7"/>
        <v>In Balance</v>
      </c>
      <c r="S42" s="101" t="str">
        <f>IF(S17-S30=S40,"In Balance",S40+S30-S17)</f>
        <v>In Balance</v>
      </c>
      <c r="T42" s="101" t="str">
        <f>IF(T17-T30=T40,"In Balance",T40+T30-T17)</f>
        <v>In Balance</v>
      </c>
      <c r="U42" s="101" t="str">
        <f>IF(U17-U30=U40,"In Balance",U40+U30-U17)</f>
        <v>In Balance</v>
      </c>
      <c r="V42" s="101" t="str">
        <f t="shared" si="7"/>
        <v>In Balance</v>
      </c>
      <c r="W42" s="101" t="str">
        <f>IF(W17-W30=W40,"In Balance",W40+W30-W17)</f>
        <v>In Balance</v>
      </c>
      <c r="X42" s="101" t="str">
        <f>IF(X17-X30=X40,"In Balance",X40+X30-X17)</f>
        <v>In Balance</v>
      </c>
      <c r="Y42" s="101" t="str">
        <f>IF(Y17-Y30=Y40,"In Balance",Y40+Y30-Y17)</f>
        <v>In Balance</v>
      </c>
      <c r="Z42" s="101" t="str">
        <f>IF(Z17-Z30=Z40,"In Balance",Z40+Z30-Z17)</f>
        <v>In Balance</v>
      </c>
      <c r="AA42" s="101" t="str">
        <f>IF(AA17-AA30=AA40,"In Balance",AA40+AA30-AA17)</f>
        <v>In Balance</v>
      </c>
      <c r="AB42" s="101" t="str">
        <f t="shared" si="7"/>
        <v>In Balance</v>
      </c>
      <c r="AC42" s="101" t="str">
        <f>IF(AC17-AC30=AC40,"In Balance",AC40+AC30-AC17)</f>
        <v>In Balance</v>
      </c>
      <c r="AD42" s="101" t="str">
        <f>IF(AD17-AD30=AD40,"In Balance",AD40+AD30-AD17)</f>
        <v>In Balance</v>
      </c>
      <c r="AE42" s="101" t="str">
        <f t="shared" si="7"/>
        <v>In Balance</v>
      </c>
      <c r="AF42" s="101" t="str">
        <f t="shared" si="7"/>
        <v>In Balance</v>
      </c>
      <c r="AG42" s="101" t="str">
        <f t="shared" si="7"/>
        <v>In Balance</v>
      </c>
      <c r="AH42" s="101" t="str">
        <f t="shared" si="7"/>
        <v>In Balance</v>
      </c>
      <c r="AI42" s="101" t="str">
        <f>IF(AI17-AI30=AI40,"In Balance",AI40+AI30-AI17)</f>
        <v>In Balance</v>
      </c>
      <c r="AJ42" s="101" t="str">
        <f t="shared" si="7"/>
        <v>In Balance</v>
      </c>
      <c r="AK42" s="101" t="str">
        <f>IF(AK17-AK30=AK40,"In Balance",AK40+AK30-AK17)</f>
        <v>In Balance</v>
      </c>
      <c r="AL42" s="101" t="str">
        <f>IF(AL17-AL30=AL40,"In Balance",AL40+AL30-AL17)</f>
        <v>In Balance</v>
      </c>
      <c r="AM42" s="101" t="str">
        <f t="shared" si="7"/>
        <v>In Balance</v>
      </c>
      <c r="AN42" s="101" t="str">
        <f t="shared" si="7"/>
        <v>In Balance</v>
      </c>
      <c r="AO42" s="101" t="str">
        <f t="shared" si="7"/>
        <v>In Balance</v>
      </c>
      <c r="AP42" s="101" t="str">
        <f t="shared" si="7"/>
        <v>In Balance</v>
      </c>
      <c r="AQ42" s="101" t="str">
        <f t="shared" si="7"/>
        <v>In Balance</v>
      </c>
      <c r="AR42" s="101" t="str">
        <f t="shared" si="7"/>
        <v>In Balance</v>
      </c>
      <c r="AS42" s="101" t="str">
        <f t="shared" si="7"/>
        <v>In Balance</v>
      </c>
      <c r="AT42" s="101" t="str">
        <f t="shared" si="7"/>
        <v>In Balance</v>
      </c>
      <c r="AU42" s="101" t="str">
        <f t="shared" si="7"/>
        <v>In Balance</v>
      </c>
      <c r="AV42" s="101" t="str">
        <f t="shared" si="7"/>
        <v>In Balance</v>
      </c>
      <c r="AW42" s="101" t="str">
        <f t="shared" si="7"/>
        <v>In Balance</v>
      </c>
      <c r="AX42" s="101" t="str">
        <f t="shared" si="7"/>
        <v>In Balance</v>
      </c>
      <c r="AY42" s="101" t="str">
        <f t="shared" si="7"/>
        <v>In Balance</v>
      </c>
      <c r="AZ42" s="101" t="str">
        <f t="shared" si="7"/>
        <v>In Balance</v>
      </c>
      <c r="BA42" s="101" t="str">
        <f t="shared" si="7"/>
        <v>In Balance</v>
      </c>
      <c r="BB42" s="101" t="str">
        <f t="shared" si="7"/>
        <v>In Balance</v>
      </c>
      <c r="BC42" s="101" t="str">
        <f t="shared" si="7"/>
        <v>In Balance</v>
      </c>
      <c r="BD42" s="101" t="str">
        <f t="shared" si="7"/>
        <v>In Balance</v>
      </c>
      <c r="BE42" s="101" t="str">
        <f t="shared" si="7"/>
        <v>In Balance</v>
      </c>
      <c r="BF42" s="101" t="str">
        <f t="shared" si="7"/>
        <v>In Balance</v>
      </c>
      <c r="BG42" s="101" t="str">
        <f t="shared" si="7"/>
        <v>In Balance</v>
      </c>
      <c r="BH42" s="101" t="str">
        <f t="shared" si="7"/>
        <v>In Balance</v>
      </c>
      <c r="BI42" s="101" t="str">
        <f t="shared" si="7"/>
        <v>In Balance</v>
      </c>
      <c r="BJ42" s="101" t="str">
        <f t="shared" si="7"/>
        <v>In Balance</v>
      </c>
      <c r="BK42" s="101"/>
      <c r="BL42" s="101" t="str">
        <f t="shared" si="7"/>
        <v>In Balance</v>
      </c>
    </row>
    <row r="43" spans="1:64" x14ac:dyDescent="0.25">
      <c r="A43" s="76"/>
      <c r="B43" s="77"/>
      <c r="C43" s="77"/>
      <c r="D43" s="77"/>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row>
    <row r="44" spans="1:64" x14ac:dyDescent="0.25">
      <c r="A44" s="76"/>
      <c r="B44" s="77"/>
      <c r="C44" s="77" t="s">
        <v>600</v>
      </c>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82"/>
    </row>
    <row r="46" spans="1:64" x14ac:dyDescent="0.25">
      <c r="C46" s="171" t="s">
        <v>601</v>
      </c>
    </row>
    <row r="47" spans="1:64" x14ac:dyDescent="0.25">
      <c r="C47" s="171" t="s">
        <v>602</v>
      </c>
    </row>
    <row r="48" spans="1:64" x14ac:dyDescent="0.25">
      <c r="C48" s="171" t="s">
        <v>603</v>
      </c>
    </row>
    <row r="49" spans="3:3" x14ac:dyDescent="0.25">
      <c r="C49" s="171" t="s">
        <v>604</v>
      </c>
    </row>
    <row r="50" spans="3:3" x14ac:dyDescent="0.25">
      <c r="C50" s="171" t="s">
        <v>605</v>
      </c>
    </row>
    <row r="51" spans="3:3" x14ac:dyDescent="0.25">
      <c r="C51" s="171" t="s">
        <v>606</v>
      </c>
    </row>
    <row r="52" spans="3:3" x14ac:dyDescent="0.25">
      <c r="C52" s="171" t="s">
        <v>607</v>
      </c>
    </row>
  </sheetData>
  <sheetProtection algorithmName="SHA-512" hashValue="3NFBoeGcgRH3Et2dK5rYeAecmAWSIKOWe8FxyzmwumV/z9Jz1EV2QauNu9NOebJl3YImZNBHJ97nPQ1hgGjkeQ==" saltValue="mi7II2fwvnW+VWXm/ebX+A==" spinCount="100000" sheet="1" autoFilter="0"/>
  <pageMargins left="0.2" right="0.2" top="0.25" bottom="0.5" header="0.05"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L38"/>
  <sheetViews>
    <sheetView zoomScaleNormal="100" workbookViewId="0">
      <pane xSplit="3" ySplit="5" topLeftCell="E9" activePane="bottomRight" state="frozen"/>
      <selection pane="topRight" activeCell="B9" sqref="B9"/>
      <selection pane="bottomLeft" activeCell="B9" sqref="B9"/>
      <selection pane="bottomRight" activeCell="P35" sqref="P35"/>
    </sheetView>
  </sheetViews>
  <sheetFormatPr defaultRowHeight="13.2" x14ac:dyDescent="0.25"/>
  <cols>
    <col min="1" max="1" width="5" bestFit="1" customWidth="1"/>
    <col min="2" max="2" width="9.33203125" customWidth="1"/>
    <col min="3" max="3" width="41.5546875" bestFit="1" customWidth="1"/>
    <col min="4" max="4" width="3" customWidth="1"/>
    <col min="5" max="5" width="13" customWidth="1"/>
    <col min="6" max="6" width="12.88671875" customWidth="1"/>
    <col min="7" max="7" width="11.6640625" bestFit="1" customWidth="1"/>
    <col min="8" max="8" width="6.5546875" bestFit="1" customWidth="1"/>
    <col min="9" max="9" width="9.88671875" bestFit="1" customWidth="1"/>
    <col min="10" max="12" width="11.6640625" bestFit="1" customWidth="1"/>
    <col min="13" max="13" width="11.44140625" customWidth="1"/>
    <col min="14" max="16" width="11.6640625" bestFit="1" customWidth="1"/>
    <col min="17" max="17" width="12.6640625" bestFit="1" customWidth="1"/>
    <col min="18" max="18" width="11.6640625" bestFit="1" customWidth="1"/>
    <col min="19" max="19" width="6.6640625" bestFit="1" customWidth="1"/>
    <col min="20" max="20" width="10.109375" customWidth="1"/>
    <col min="21" max="21" width="6.6640625" bestFit="1" customWidth="1"/>
    <col min="22" max="22" width="11.6640625" bestFit="1" customWidth="1"/>
    <col min="23" max="23" width="16.5546875" bestFit="1" customWidth="1"/>
    <col min="24" max="24" width="11.6640625" bestFit="1" customWidth="1"/>
    <col min="25" max="25" width="8.33203125" bestFit="1" customWidth="1"/>
    <col min="26" max="28" width="11.6640625" bestFit="1" customWidth="1"/>
    <col min="29" max="29" width="6.6640625" bestFit="1" customWidth="1"/>
    <col min="30" max="30" width="7" bestFit="1" customWidth="1"/>
    <col min="31" max="34" width="11.6640625" bestFit="1" customWidth="1"/>
    <col min="35" max="35" width="10.109375" bestFit="1" customWidth="1"/>
    <col min="36" max="36" width="11.6640625" bestFit="1" customWidth="1"/>
    <col min="37" max="37" width="7.33203125" bestFit="1" customWidth="1"/>
    <col min="38" max="38" width="6.6640625" bestFit="1" customWidth="1"/>
    <col min="39" max="39" width="11.6640625" bestFit="1" customWidth="1"/>
    <col min="40" max="40" width="10.6640625" bestFit="1" customWidth="1"/>
    <col min="41" max="41" width="6.6640625" bestFit="1" customWidth="1"/>
    <col min="42" max="42" width="10.109375" bestFit="1" customWidth="1"/>
    <col min="43" max="45" width="11.6640625" bestFit="1" customWidth="1"/>
    <col min="46" max="46" width="7.109375" bestFit="1" customWidth="1"/>
    <col min="47" max="47" width="15.33203125" bestFit="1" customWidth="1"/>
    <col min="48" max="48" width="12.6640625" bestFit="1" customWidth="1"/>
    <col min="49" max="49" width="10.44140625" customWidth="1"/>
    <col min="50" max="50" width="11.6640625" bestFit="1" customWidth="1"/>
    <col min="51" max="51" width="7.109375" bestFit="1" customWidth="1"/>
    <col min="52" max="55" width="11.6640625" bestFit="1" customWidth="1"/>
    <col min="56" max="56" width="8.33203125" bestFit="1" customWidth="1"/>
    <col min="57" max="57" width="11.6640625" bestFit="1" customWidth="1"/>
    <col min="58" max="58" width="12" customWidth="1"/>
    <col min="59" max="62" width="11.6640625" bestFit="1" customWidth="1"/>
    <col min="63" max="63" width="5" bestFit="1" customWidth="1"/>
    <col min="64" max="64" width="13.88671875" bestFit="1" customWidth="1"/>
  </cols>
  <sheetData>
    <row r="1" spans="1:64" x14ac:dyDescent="0.25">
      <c r="A1" s="148" t="s">
        <v>608</v>
      </c>
      <c r="B1" s="114"/>
      <c r="C1" s="78" t="s">
        <v>468</v>
      </c>
      <c r="D1" s="114"/>
      <c r="E1" s="61" t="s">
        <v>19</v>
      </c>
      <c r="F1" s="61" t="s">
        <v>348</v>
      </c>
      <c r="G1" s="61" t="s">
        <v>350</v>
      </c>
      <c r="H1" s="61" t="s">
        <v>352</v>
      </c>
      <c r="I1" s="61" t="s">
        <v>354</v>
      </c>
      <c r="J1" s="61" t="s">
        <v>356</v>
      </c>
      <c r="K1" s="61" t="s">
        <v>358</v>
      </c>
      <c r="L1" s="61" t="s">
        <v>360</v>
      </c>
      <c r="M1" s="61" t="s">
        <v>362</v>
      </c>
      <c r="N1" s="61" t="s">
        <v>364</v>
      </c>
      <c r="O1" s="61" t="s">
        <v>366</v>
      </c>
      <c r="P1" s="61" t="s">
        <v>368</v>
      </c>
      <c r="Q1" s="61" t="s">
        <v>370</v>
      </c>
      <c r="R1" s="61" t="s">
        <v>372</v>
      </c>
      <c r="S1" s="61" t="s">
        <v>374</v>
      </c>
      <c r="T1" s="61" t="s">
        <v>376</v>
      </c>
      <c r="U1" s="61" t="s">
        <v>378</v>
      </c>
      <c r="V1" s="61" t="s">
        <v>380</v>
      </c>
      <c r="W1" s="61" t="s">
        <v>382</v>
      </c>
      <c r="X1" s="61" t="s">
        <v>384</v>
      </c>
      <c r="Y1" s="61" t="s">
        <v>386</v>
      </c>
      <c r="Z1" s="61" t="s">
        <v>388</v>
      </c>
      <c r="AA1" s="61" t="s">
        <v>390</v>
      </c>
      <c r="AB1" s="61" t="s">
        <v>392</v>
      </c>
      <c r="AC1" s="61" t="s">
        <v>394</v>
      </c>
      <c r="AD1" s="61" t="s">
        <v>396</v>
      </c>
      <c r="AE1" s="61" t="s">
        <v>398</v>
      </c>
      <c r="AF1" s="61" t="s">
        <v>400</v>
      </c>
      <c r="AG1" s="61" t="s">
        <v>402</v>
      </c>
      <c r="AH1" s="61" t="s">
        <v>404</v>
      </c>
      <c r="AI1" s="61" t="s">
        <v>406</v>
      </c>
      <c r="AJ1" s="61" t="s">
        <v>408</v>
      </c>
      <c r="AK1" s="61" t="s">
        <v>410</v>
      </c>
      <c r="AL1" s="61" t="s">
        <v>412</v>
      </c>
      <c r="AM1" s="61" t="s">
        <v>414</v>
      </c>
      <c r="AN1" s="61" t="s">
        <v>416</v>
      </c>
      <c r="AO1" s="61" t="s">
        <v>418</v>
      </c>
      <c r="AP1" s="61" t="s">
        <v>420</v>
      </c>
      <c r="AQ1" s="61" t="s">
        <v>422</v>
      </c>
      <c r="AR1" s="61" t="s">
        <v>424</v>
      </c>
      <c r="AS1" s="61" t="s">
        <v>426</v>
      </c>
      <c r="AT1" s="61" t="s">
        <v>428</v>
      </c>
      <c r="AU1" s="61" t="s">
        <v>430</v>
      </c>
      <c r="AV1" s="61" t="s">
        <v>432</v>
      </c>
      <c r="AW1" s="61" t="s">
        <v>434</v>
      </c>
      <c r="AX1" s="61" t="s">
        <v>436</v>
      </c>
      <c r="AY1" s="61" t="s">
        <v>438</v>
      </c>
      <c r="AZ1" s="61" t="s">
        <v>440</v>
      </c>
      <c r="BA1" s="61" t="s">
        <v>443</v>
      </c>
      <c r="BB1" s="61" t="s">
        <v>445</v>
      </c>
      <c r="BC1" s="61" t="s">
        <v>447</v>
      </c>
      <c r="BD1" s="61" t="s">
        <v>449</v>
      </c>
      <c r="BE1" s="61" t="s">
        <v>451</v>
      </c>
      <c r="BF1" s="61" t="s">
        <v>453</v>
      </c>
      <c r="BG1" s="61" t="s">
        <v>455</v>
      </c>
      <c r="BH1" s="61" t="s">
        <v>457</v>
      </c>
      <c r="BI1" s="61" t="s">
        <v>459</v>
      </c>
      <c r="BJ1" s="61" t="s">
        <v>461</v>
      </c>
      <c r="BK1" s="80"/>
      <c r="BL1" s="78" t="s">
        <v>46</v>
      </c>
    </row>
    <row r="2" spans="1:64" x14ac:dyDescent="0.25">
      <c r="A2" s="113"/>
      <c r="B2" s="115"/>
      <c r="C2" s="81" t="s">
        <v>609</v>
      </c>
      <c r="D2" s="115"/>
      <c r="E2" s="78" t="s">
        <v>470</v>
      </c>
      <c r="F2" s="78" t="s">
        <v>471</v>
      </c>
      <c r="G2" s="78" t="s">
        <v>472</v>
      </c>
      <c r="H2" s="78" t="s">
        <v>473</v>
      </c>
      <c r="I2" s="78" t="s">
        <v>474</v>
      </c>
      <c r="J2" s="78" t="s">
        <v>475</v>
      </c>
      <c r="K2" s="78" t="s">
        <v>476</v>
      </c>
      <c r="L2" s="78" t="s">
        <v>477</v>
      </c>
      <c r="M2" s="78" t="s">
        <v>478</v>
      </c>
      <c r="N2" s="78" t="s">
        <v>479</v>
      </c>
      <c r="O2" s="78" t="s">
        <v>480</v>
      </c>
      <c r="P2" s="78" t="s">
        <v>481</v>
      </c>
      <c r="Q2" s="78" t="s">
        <v>482</v>
      </c>
      <c r="R2" s="78" t="s">
        <v>483</v>
      </c>
      <c r="S2" s="78" t="s">
        <v>484</v>
      </c>
      <c r="T2" s="78" t="s">
        <v>485</v>
      </c>
      <c r="U2" s="78" t="s">
        <v>486</v>
      </c>
      <c r="V2" s="78" t="s">
        <v>487</v>
      </c>
      <c r="W2" s="78" t="s">
        <v>488</v>
      </c>
      <c r="X2" s="78" t="s">
        <v>489</v>
      </c>
      <c r="Y2" s="78" t="s">
        <v>490</v>
      </c>
      <c r="Z2" s="78" t="s">
        <v>491</v>
      </c>
      <c r="AA2" s="78" t="s">
        <v>492</v>
      </c>
      <c r="AB2" s="78" t="s">
        <v>493</v>
      </c>
      <c r="AC2" s="78" t="s">
        <v>494</v>
      </c>
      <c r="AD2" s="78" t="s">
        <v>495</v>
      </c>
      <c r="AE2" s="78" t="s">
        <v>496</v>
      </c>
      <c r="AF2" s="78" t="s">
        <v>497</v>
      </c>
      <c r="AG2" s="78" t="s">
        <v>498</v>
      </c>
      <c r="AH2" s="78" t="s">
        <v>499</v>
      </c>
      <c r="AI2" s="78" t="s">
        <v>500</v>
      </c>
      <c r="AJ2" s="78" t="s">
        <v>501</v>
      </c>
      <c r="AK2" s="78" t="s">
        <v>502</v>
      </c>
      <c r="AL2" s="78" t="s">
        <v>503</v>
      </c>
      <c r="AM2" s="78" t="s">
        <v>504</v>
      </c>
      <c r="AN2" s="78" t="s">
        <v>505</v>
      </c>
      <c r="AO2" s="78" t="s">
        <v>506</v>
      </c>
      <c r="AP2" s="78" t="s">
        <v>507</v>
      </c>
      <c r="AQ2" s="78" t="s">
        <v>508</v>
      </c>
      <c r="AR2" s="78" t="s">
        <v>509</v>
      </c>
      <c r="AS2" s="78" t="s">
        <v>510</v>
      </c>
      <c r="AT2" s="78" t="s">
        <v>511</v>
      </c>
      <c r="AU2" s="78" t="s">
        <v>512</v>
      </c>
      <c r="AV2" s="78" t="s">
        <v>513</v>
      </c>
      <c r="AW2" s="78" t="s">
        <v>514</v>
      </c>
      <c r="AX2" s="78" t="s">
        <v>515</v>
      </c>
      <c r="AY2" s="78" t="s">
        <v>516</v>
      </c>
      <c r="AZ2" s="78" t="s">
        <v>517</v>
      </c>
      <c r="BA2" s="78" t="s">
        <v>518</v>
      </c>
      <c r="BB2" s="78" t="s">
        <v>519</v>
      </c>
      <c r="BC2" s="78" t="s">
        <v>520</v>
      </c>
      <c r="BD2" s="78" t="s">
        <v>521</v>
      </c>
      <c r="BE2" s="78" t="s">
        <v>522</v>
      </c>
      <c r="BF2" s="78" t="s">
        <v>523</v>
      </c>
      <c r="BG2" s="78" t="s">
        <v>524</v>
      </c>
      <c r="BH2" s="78" t="s">
        <v>525</v>
      </c>
      <c r="BI2" s="78" t="s">
        <v>526</v>
      </c>
      <c r="BJ2" s="78" t="s">
        <v>527</v>
      </c>
      <c r="BK2" s="82"/>
      <c r="BL2" s="79"/>
    </row>
    <row r="3" spans="1:64" x14ac:dyDescent="0.25">
      <c r="A3" s="113"/>
      <c r="B3" s="114"/>
      <c r="C3" s="103" t="s">
        <v>528</v>
      </c>
      <c r="D3" s="114"/>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82"/>
      <c r="BL3" s="79"/>
    </row>
    <row r="4" spans="1:64" x14ac:dyDescent="0.25">
      <c r="A4" s="113"/>
      <c r="B4" s="114"/>
      <c r="C4" s="84" t="s">
        <v>529</v>
      </c>
      <c r="D4" s="114"/>
      <c r="E4" s="79"/>
      <c r="F4" s="79"/>
      <c r="G4" s="79"/>
      <c r="H4" s="79"/>
      <c r="I4" s="79"/>
      <c r="J4" s="79"/>
      <c r="K4" s="79"/>
      <c r="L4" s="79"/>
      <c r="M4" s="79"/>
      <c r="N4" s="79"/>
      <c r="O4" s="79"/>
      <c r="P4" s="79" t="s">
        <v>531</v>
      </c>
      <c r="Q4" s="79" t="s">
        <v>531</v>
      </c>
      <c r="R4" s="79"/>
      <c r="S4" s="79"/>
      <c r="T4" s="79" t="s">
        <v>532</v>
      </c>
      <c r="U4" s="79"/>
      <c r="V4" s="79" t="s">
        <v>533</v>
      </c>
      <c r="W4" s="79"/>
      <c r="X4" s="79"/>
      <c r="Y4" s="79"/>
      <c r="Z4" s="79"/>
      <c r="AA4" s="79"/>
      <c r="AB4" s="79"/>
      <c r="AC4" s="79"/>
      <c r="AD4" s="79"/>
      <c r="AE4" s="79"/>
      <c r="AF4" s="79"/>
      <c r="AG4" s="79"/>
      <c r="AH4" s="79"/>
      <c r="AI4" s="79"/>
      <c r="AJ4" s="79"/>
      <c r="AK4" s="79"/>
      <c r="AL4" s="79"/>
      <c r="AM4" s="79"/>
      <c r="AN4" s="79"/>
      <c r="AO4" s="79"/>
      <c r="AP4" s="79"/>
      <c r="AQ4" s="79"/>
      <c r="AR4" s="79"/>
      <c r="AS4" s="79"/>
      <c r="AT4" s="79" t="s">
        <v>534</v>
      </c>
      <c r="AU4" s="79"/>
      <c r="AV4" s="79"/>
      <c r="AW4" s="79" t="s">
        <v>535</v>
      </c>
      <c r="AX4" s="79"/>
      <c r="AY4" s="79"/>
      <c r="AZ4" s="79"/>
      <c r="BA4" s="79"/>
      <c r="BB4" s="79"/>
      <c r="BC4" s="79"/>
      <c r="BD4" s="79"/>
      <c r="BE4" s="79" t="s">
        <v>536</v>
      </c>
      <c r="BF4" s="79"/>
      <c r="BG4" s="79"/>
      <c r="BH4" s="79"/>
      <c r="BI4" s="79"/>
      <c r="BJ4" s="79"/>
      <c r="BK4" s="82"/>
      <c r="BL4" s="79"/>
    </row>
    <row r="5" spans="1:64" x14ac:dyDescent="0.25">
      <c r="A5" s="113"/>
      <c r="B5" s="114"/>
      <c r="C5" s="85" t="s">
        <v>610</v>
      </c>
      <c r="D5" s="114"/>
      <c r="E5" s="86" t="s">
        <v>538</v>
      </c>
      <c r="F5" s="86" t="s">
        <v>539</v>
      </c>
      <c r="G5" s="86" t="s">
        <v>540</v>
      </c>
      <c r="H5" s="86" t="s">
        <v>541</v>
      </c>
      <c r="I5" s="86" t="s">
        <v>542</v>
      </c>
      <c r="J5" s="86" t="s">
        <v>543</v>
      </c>
      <c r="K5" s="86" t="s">
        <v>544</v>
      </c>
      <c r="L5" s="86" t="s">
        <v>545</v>
      </c>
      <c r="M5" s="86" t="s">
        <v>546</v>
      </c>
      <c r="N5" s="86" t="s">
        <v>547</v>
      </c>
      <c r="O5" s="86" t="s">
        <v>548</v>
      </c>
      <c r="P5" s="86" t="s">
        <v>549</v>
      </c>
      <c r="Q5" s="86" t="s">
        <v>550</v>
      </c>
      <c r="R5" s="86" t="s">
        <v>551</v>
      </c>
      <c r="S5" s="86" t="s">
        <v>552</v>
      </c>
      <c r="T5" s="86" t="s">
        <v>553</v>
      </c>
      <c r="U5" s="86" t="s">
        <v>554</v>
      </c>
      <c r="V5" s="86" t="s">
        <v>555</v>
      </c>
      <c r="W5" s="86" t="s">
        <v>556</v>
      </c>
      <c r="X5" s="86" t="s">
        <v>557</v>
      </c>
      <c r="Y5" s="86" t="s">
        <v>558</v>
      </c>
      <c r="Z5" s="86" t="s">
        <v>559</v>
      </c>
      <c r="AA5" s="86" t="s">
        <v>560</v>
      </c>
      <c r="AB5" s="86" t="s">
        <v>561</v>
      </c>
      <c r="AC5" s="86" t="s">
        <v>562</v>
      </c>
      <c r="AD5" s="86" t="s">
        <v>563</v>
      </c>
      <c r="AE5" s="86" t="s">
        <v>564</v>
      </c>
      <c r="AF5" s="86" t="s">
        <v>565</v>
      </c>
      <c r="AG5" s="86" t="s">
        <v>566</v>
      </c>
      <c r="AH5" s="86" t="s">
        <v>567</v>
      </c>
      <c r="AI5" s="86" t="s">
        <v>568</v>
      </c>
      <c r="AJ5" s="86" t="s">
        <v>569</v>
      </c>
      <c r="AK5" s="86" t="s">
        <v>570</v>
      </c>
      <c r="AL5" s="86" t="s">
        <v>571</v>
      </c>
      <c r="AM5" s="86" t="s">
        <v>572</v>
      </c>
      <c r="AN5" s="86" t="s">
        <v>573</v>
      </c>
      <c r="AO5" s="86" t="s">
        <v>574</v>
      </c>
      <c r="AP5" s="86" t="s">
        <v>550</v>
      </c>
      <c r="AQ5" s="86" t="s">
        <v>575</v>
      </c>
      <c r="AR5" s="86" t="s">
        <v>576</v>
      </c>
      <c r="AS5" s="86" t="s">
        <v>577</v>
      </c>
      <c r="AT5" s="86" t="s">
        <v>578</v>
      </c>
      <c r="AU5" s="86" t="s">
        <v>579</v>
      </c>
      <c r="AV5" s="86" t="s">
        <v>580</v>
      </c>
      <c r="AW5" s="86" t="s">
        <v>581</v>
      </c>
      <c r="AX5" s="86" t="s">
        <v>582</v>
      </c>
      <c r="AY5" s="86" t="s">
        <v>583</v>
      </c>
      <c r="AZ5" s="86" t="s">
        <v>584</v>
      </c>
      <c r="BA5" s="86" t="s">
        <v>585</v>
      </c>
      <c r="BB5" s="86" t="s">
        <v>586</v>
      </c>
      <c r="BC5" s="86" t="s">
        <v>587</v>
      </c>
      <c r="BD5" s="86" t="s">
        <v>588</v>
      </c>
      <c r="BE5" s="86" t="s">
        <v>589</v>
      </c>
      <c r="BF5" s="86" t="s">
        <v>590</v>
      </c>
      <c r="BG5" s="86" t="s">
        <v>591</v>
      </c>
      <c r="BH5" s="86" t="s">
        <v>592</v>
      </c>
      <c r="BI5" s="86" t="s">
        <v>593</v>
      </c>
      <c r="BJ5" s="86" t="s">
        <v>594</v>
      </c>
      <c r="BK5" s="82"/>
      <c r="BL5" s="86"/>
    </row>
    <row r="6" spans="1:64" x14ac:dyDescent="0.25">
      <c r="A6" s="113"/>
      <c r="B6" s="114"/>
      <c r="C6" s="109" t="s">
        <v>268</v>
      </c>
      <c r="D6" s="114"/>
      <c r="E6" s="114"/>
      <c r="F6" s="114"/>
      <c r="G6" s="114"/>
      <c r="H6" s="114"/>
      <c r="I6" s="114"/>
      <c r="J6" s="114"/>
      <c r="K6" s="114"/>
      <c r="L6" s="114"/>
      <c r="M6" s="114"/>
      <c r="N6" s="114"/>
      <c r="O6" s="114"/>
      <c r="P6" s="114"/>
      <c r="Q6" s="114"/>
      <c r="R6" s="114"/>
      <c r="S6" s="114">
        <v>0</v>
      </c>
      <c r="T6" s="114"/>
      <c r="U6" s="114"/>
      <c r="V6" s="114"/>
      <c r="W6" s="114">
        <v>0</v>
      </c>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row>
    <row r="7" spans="1:64" x14ac:dyDescent="0.25">
      <c r="A7" s="113">
        <v>2710</v>
      </c>
      <c r="B7" s="191">
        <v>500</v>
      </c>
      <c r="C7" s="195" t="s">
        <v>147</v>
      </c>
      <c r="D7" s="114"/>
      <c r="E7" s="135">
        <v>2220238</v>
      </c>
      <c r="F7" s="135">
        <v>227369</v>
      </c>
      <c r="G7" s="135">
        <v>1802522</v>
      </c>
      <c r="H7" s="144">
        <v>0</v>
      </c>
      <c r="I7" s="135">
        <v>377619</v>
      </c>
      <c r="J7" s="135">
        <v>2266214</v>
      </c>
      <c r="K7" s="135">
        <v>1521902</v>
      </c>
      <c r="L7" s="135">
        <v>6413301</v>
      </c>
      <c r="M7" s="135">
        <v>5076887</v>
      </c>
      <c r="N7" s="135">
        <v>714754</v>
      </c>
      <c r="O7" s="135">
        <v>1690319</v>
      </c>
      <c r="P7" s="135">
        <v>2009999</v>
      </c>
      <c r="Q7" s="135">
        <v>12086021</v>
      </c>
      <c r="R7" s="135">
        <v>1785241</v>
      </c>
      <c r="S7" s="144">
        <v>0</v>
      </c>
      <c r="T7" s="135">
        <v>722771</v>
      </c>
      <c r="U7" s="144">
        <v>0</v>
      </c>
      <c r="V7" s="135">
        <v>895414</v>
      </c>
      <c r="W7" s="135">
        <v>5941910</v>
      </c>
      <c r="X7" s="135">
        <v>742532</v>
      </c>
      <c r="Y7" s="144">
        <v>0</v>
      </c>
      <c r="Z7" s="135">
        <v>989486</v>
      </c>
      <c r="AA7" s="135">
        <v>-1</v>
      </c>
      <c r="AB7" s="135">
        <v>1572941</v>
      </c>
      <c r="AC7" s="144">
        <v>0</v>
      </c>
      <c r="AD7" s="144">
        <v>0</v>
      </c>
      <c r="AE7" s="135">
        <v>1065891</v>
      </c>
      <c r="AF7" s="135">
        <v>324952</v>
      </c>
      <c r="AG7" s="135">
        <v>1417967</v>
      </c>
      <c r="AH7" s="135">
        <v>567180</v>
      </c>
      <c r="AI7" s="135">
        <v>132657</v>
      </c>
      <c r="AJ7" s="135">
        <v>9613264</v>
      </c>
      <c r="AK7" s="144">
        <v>0</v>
      </c>
      <c r="AL7" s="144">
        <v>0</v>
      </c>
      <c r="AM7" s="135">
        <v>269586</v>
      </c>
      <c r="AN7" s="135">
        <v>476409</v>
      </c>
      <c r="AO7" s="144">
        <v>0</v>
      </c>
      <c r="AP7" s="135">
        <v>1231110</v>
      </c>
      <c r="AQ7" s="135">
        <v>923672</v>
      </c>
      <c r="AR7" s="135">
        <v>347321</v>
      </c>
      <c r="AS7" s="135">
        <v>929208</v>
      </c>
      <c r="AT7" s="144">
        <v>0</v>
      </c>
      <c r="AU7" s="135">
        <v>317222</v>
      </c>
      <c r="AV7" s="135">
        <v>288342</v>
      </c>
      <c r="AW7" s="135">
        <v>1911682</v>
      </c>
      <c r="AX7" s="135">
        <v>447132</v>
      </c>
      <c r="AY7" s="144">
        <v>0</v>
      </c>
      <c r="AZ7" s="135">
        <v>736765</v>
      </c>
      <c r="BA7" s="135">
        <v>620968</v>
      </c>
      <c r="BB7" s="135">
        <v>360065</v>
      </c>
      <c r="BC7" s="135">
        <v>1707429</v>
      </c>
      <c r="BD7" s="144">
        <v>145225</v>
      </c>
      <c r="BE7" s="135">
        <v>530363</v>
      </c>
      <c r="BF7" s="144">
        <v>0</v>
      </c>
      <c r="BG7" s="135">
        <v>776317</v>
      </c>
      <c r="BH7" s="135">
        <v>398576</v>
      </c>
      <c r="BI7" s="135">
        <v>1937503</v>
      </c>
      <c r="BJ7" s="135">
        <v>163164</v>
      </c>
      <c r="BK7" s="114"/>
      <c r="BL7" s="114">
        <f>SUM(E7:BK7)</f>
        <v>76697409</v>
      </c>
    </row>
    <row r="8" spans="1:64" x14ac:dyDescent="0.25">
      <c r="A8" s="113">
        <v>2890</v>
      </c>
      <c r="B8" s="191">
        <v>510</v>
      </c>
      <c r="C8" s="195" t="s">
        <v>148</v>
      </c>
      <c r="D8" s="114"/>
      <c r="E8" s="135">
        <v>0</v>
      </c>
      <c r="F8" s="135">
        <v>311500</v>
      </c>
      <c r="G8" s="135">
        <v>6228</v>
      </c>
      <c r="H8" s="144">
        <v>0</v>
      </c>
      <c r="I8" s="135">
        <v>16500</v>
      </c>
      <c r="J8" s="135">
        <v>0</v>
      </c>
      <c r="K8" s="135">
        <v>0</v>
      </c>
      <c r="L8" s="135">
        <v>0</v>
      </c>
      <c r="M8" s="135">
        <v>102363</v>
      </c>
      <c r="N8" s="135">
        <v>0</v>
      </c>
      <c r="O8" s="135">
        <v>0</v>
      </c>
      <c r="P8" s="135">
        <v>0</v>
      </c>
      <c r="Q8" s="135">
        <v>0</v>
      </c>
      <c r="R8" s="135">
        <v>0</v>
      </c>
      <c r="S8" s="144">
        <v>0</v>
      </c>
      <c r="T8" s="135">
        <v>0</v>
      </c>
      <c r="U8" s="144">
        <v>0</v>
      </c>
      <c r="V8" s="135">
        <v>0</v>
      </c>
      <c r="W8" s="135">
        <v>0</v>
      </c>
      <c r="X8" s="135">
        <v>0</v>
      </c>
      <c r="Y8" s="144">
        <v>0</v>
      </c>
      <c r="Z8" s="135">
        <v>87175</v>
      </c>
      <c r="AA8" s="135">
        <v>0</v>
      </c>
      <c r="AB8" s="135">
        <v>143778</v>
      </c>
      <c r="AC8" s="144">
        <v>0</v>
      </c>
      <c r="AD8" s="144">
        <v>0</v>
      </c>
      <c r="AE8" s="135">
        <v>0</v>
      </c>
      <c r="AF8" s="135">
        <v>0</v>
      </c>
      <c r="AG8" s="135">
        <v>0</v>
      </c>
      <c r="AH8" s="135">
        <v>415452</v>
      </c>
      <c r="AI8" s="135">
        <v>0</v>
      </c>
      <c r="AJ8" s="135">
        <v>0</v>
      </c>
      <c r="AK8" s="144">
        <v>0</v>
      </c>
      <c r="AL8" s="144">
        <v>0</v>
      </c>
      <c r="AM8" s="135">
        <v>0</v>
      </c>
      <c r="AN8" s="135">
        <v>44040</v>
      </c>
      <c r="AO8" s="144">
        <v>0</v>
      </c>
      <c r="AP8" s="135">
        <v>0</v>
      </c>
      <c r="AQ8" s="135">
        <v>0</v>
      </c>
      <c r="AR8" s="135">
        <v>0</v>
      </c>
      <c r="AS8" s="135">
        <v>0</v>
      </c>
      <c r="AT8" s="144">
        <v>0</v>
      </c>
      <c r="AU8" s="135">
        <v>0</v>
      </c>
      <c r="AV8" s="135">
        <v>0</v>
      </c>
      <c r="AW8" s="135">
        <v>0</v>
      </c>
      <c r="AX8" s="135">
        <v>0</v>
      </c>
      <c r="AY8" s="144">
        <v>0</v>
      </c>
      <c r="AZ8" s="135">
        <v>0</v>
      </c>
      <c r="BA8" s="135">
        <v>0</v>
      </c>
      <c r="BB8" s="135">
        <v>0</v>
      </c>
      <c r="BC8" s="135">
        <v>0</v>
      </c>
      <c r="BD8" s="144">
        <v>246</v>
      </c>
      <c r="BE8" s="135">
        <v>0</v>
      </c>
      <c r="BF8" s="144">
        <v>0</v>
      </c>
      <c r="BG8" s="135">
        <v>942080</v>
      </c>
      <c r="BH8" s="135">
        <v>0</v>
      </c>
      <c r="BI8" s="135">
        <v>0</v>
      </c>
      <c r="BJ8" s="135">
        <v>0</v>
      </c>
      <c r="BK8" s="114"/>
      <c r="BL8" s="114">
        <f t="shared" ref="BL8:BL14" si="0">SUM(E8:BK8)</f>
        <v>2069362</v>
      </c>
    </row>
    <row r="9" spans="1:64" x14ac:dyDescent="0.25">
      <c r="A9" s="113">
        <v>2900</v>
      </c>
      <c r="B9" s="191">
        <v>520</v>
      </c>
      <c r="C9" s="195" t="s">
        <v>149</v>
      </c>
      <c r="D9" s="114"/>
      <c r="E9" s="135">
        <v>0</v>
      </c>
      <c r="F9" s="135">
        <v>25500</v>
      </c>
      <c r="G9" s="135">
        <v>125815</v>
      </c>
      <c r="H9" s="144">
        <v>0</v>
      </c>
      <c r="I9" s="135">
        <v>76680</v>
      </c>
      <c r="J9" s="135">
        <v>-459807</v>
      </c>
      <c r="K9" s="135">
        <v>442820</v>
      </c>
      <c r="L9" s="135">
        <v>0</v>
      </c>
      <c r="M9" s="135">
        <v>6619357</v>
      </c>
      <c r="N9" s="135">
        <v>793848</v>
      </c>
      <c r="O9" s="135">
        <v>10000</v>
      </c>
      <c r="P9" s="135">
        <v>0</v>
      </c>
      <c r="Q9" s="135">
        <v>1133106</v>
      </c>
      <c r="R9" s="135">
        <v>0</v>
      </c>
      <c r="S9" s="144">
        <v>0</v>
      </c>
      <c r="T9" s="135">
        <v>49336</v>
      </c>
      <c r="U9" s="144">
        <v>0</v>
      </c>
      <c r="V9" s="135">
        <v>0</v>
      </c>
      <c r="W9" s="135">
        <v>0</v>
      </c>
      <c r="X9" s="135">
        <v>0</v>
      </c>
      <c r="Y9" s="144">
        <v>0</v>
      </c>
      <c r="Z9" s="135">
        <v>94049</v>
      </c>
      <c r="AA9" s="135">
        <v>0</v>
      </c>
      <c r="AB9" s="135">
        <v>214411</v>
      </c>
      <c r="AC9" s="144">
        <v>0</v>
      </c>
      <c r="AD9" s="144">
        <v>0</v>
      </c>
      <c r="AE9" s="135">
        <v>0</v>
      </c>
      <c r="AF9" s="135">
        <v>53951</v>
      </c>
      <c r="AG9" s="135">
        <v>0</v>
      </c>
      <c r="AH9" s="135">
        <v>313415</v>
      </c>
      <c r="AI9" s="135">
        <v>0</v>
      </c>
      <c r="AJ9" s="135">
        <v>0</v>
      </c>
      <c r="AK9" s="144">
        <v>0</v>
      </c>
      <c r="AL9" s="144">
        <v>0</v>
      </c>
      <c r="AM9" s="135">
        <v>0</v>
      </c>
      <c r="AN9" s="135">
        <v>443666</v>
      </c>
      <c r="AO9" s="144">
        <v>0</v>
      </c>
      <c r="AP9" s="135">
        <v>0</v>
      </c>
      <c r="AQ9" s="135">
        <v>454110</v>
      </c>
      <c r="AR9" s="135">
        <v>0</v>
      </c>
      <c r="AS9" s="135">
        <v>0</v>
      </c>
      <c r="AT9" s="144">
        <v>0</v>
      </c>
      <c r="AU9" s="135">
        <v>130988</v>
      </c>
      <c r="AV9" s="135">
        <v>597323</v>
      </c>
      <c r="AW9" s="135">
        <v>0</v>
      </c>
      <c r="AX9" s="135">
        <v>0</v>
      </c>
      <c r="AY9" s="144">
        <v>0</v>
      </c>
      <c r="AZ9" s="135">
        <v>230506</v>
      </c>
      <c r="BA9" s="135">
        <v>165783</v>
      </c>
      <c r="BB9" s="135">
        <v>0</v>
      </c>
      <c r="BC9" s="135">
        <v>0</v>
      </c>
      <c r="BD9" s="144">
        <v>12</v>
      </c>
      <c r="BE9" s="135">
        <v>79711</v>
      </c>
      <c r="BF9" s="144">
        <v>0</v>
      </c>
      <c r="BG9" s="135">
        <v>46296</v>
      </c>
      <c r="BH9" s="135">
        <v>0</v>
      </c>
      <c r="BI9" s="135">
        <v>114779</v>
      </c>
      <c r="BJ9" s="135">
        <v>0</v>
      </c>
      <c r="BK9" s="114"/>
      <c r="BL9" s="114">
        <f t="shared" si="0"/>
        <v>11755655</v>
      </c>
    </row>
    <row r="10" spans="1:64" x14ac:dyDescent="0.25">
      <c r="A10" s="113">
        <v>2760</v>
      </c>
      <c r="B10" s="191">
        <v>530</v>
      </c>
      <c r="C10" s="195" t="s">
        <v>109</v>
      </c>
      <c r="D10" s="114"/>
      <c r="E10" s="135">
        <v>0</v>
      </c>
      <c r="F10" s="135">
        <v>399166</v>
      </c>
      <c r="G10" s="135">
        <v>851321</v>
      </c>
      <c r="H10" s="144">
        <v>0</v>
      </c>
      <c r="I10" s="135">
        <v>147215</v>
      </c>
      <c r="J10" s="135">
        <v>1716087</v>
      </c>
      <c r="K10" s="135">
        <v>443671</v>
      </c>
      <c r="L10" s="135">
        <v>2756597</v>
      </c>
      <c r="M10" s="135">
        <v>2136606</v>
      </c>
      <c r="N10" s="135">
        <v>22519</v>
      </c>
      <c r="O10" s="135">
        <v>675638</v>
      </c>
      <c r="P10" s="135">
        <v>1458290</v>
      </c>
      <c r="Q10" s="135">
        <v>8831621</v>
      </c>
      <c r="R10" s="135">
        <v>243736</v>
      </c>
      <c r="S10" s="144">
        <v>0</v>
      </c>
      <c r="T10" s="135">
        <v>1180211</v>
      </c>
      <c r="U10" s="144">
        <v>0</v>
      </c>
      <c r="V10" s="135">
        <v>3629998</v>
      </c>
      <c r="W10" s="135">
        <v>4152439</v>
      </c>
      <c r="X10" s="135">
        <v>274312</v>
      </c>
      <c r="Y10" s="144">
        <v>0</v>
      </c>
      <c r="Z10" s="135">
        <v>1612274</v>
      </c>
      <c r="AA10" s="135">
        <v>0</v>
      </c>
      <c r="AB10" s="135">
        <v>1483107</v>
      </c>
      <c r="AC10" s="144">
        <v>0</v>
      </c>
      <c r="AD10" s="144">
        <v>0</v>
      </c>
      <c r="AE10" s="135">
        <v>358941</v>
      </c>
      <c r="AF10" s="135">
        <v>216268</v>
      </c>
      <c r="AG10" s="135">
        <v>1261510</v>
      </c>
      <c r="AH10" s="135">
        <v>1361460</v>
      </c>
      <c r="AI10" s="135">
        <v>6012</v>
      </c>
      <c r="AJ10" s="135">
        <v>761996</v>
      </c>
      <c r="AK10" s="144">
        <v>0</v>
      </c>
      <c r="AL10" s="144">
        <v>0</v>
      </c>
      <c r="AM10" s="135">
        <v>645521</v>
      </c>
      <c r="AN10" s="135">
        <v>1555209</v>
      </c>
      <c r="AO10" s="144">
        <v>0</v>
      </c>
      <c r="AP10" s="135">
        <v>166083</v>
      </c>
      <c r="AQ10" s="135">
        <v>723742</v>
      </c>
      <c r="AR10" s="135">
        <v>1601328</v>
      </c>
      <c r="AS10" s="135">
        <v>615653</v>
      </c>
      <c r="AT10" s="144">
        <v>0</v>
      </c>
      <c r="AU10" s="135">
        <v>387373</v>
      </c>
      <c r="AV10" s="135">
        <v>2433139</v>
      </c>
      <c r="AW10" s="135">
        <v>586534</v>
      </c>
      <c r="AX10" s="135">
        <v>601835</v>
      </c>
      <c r="AY10" s="144">
        <v>0</v>
      </c>
      <c r="AZ10" s="135">
        <v>737842</v>
      </c>
      <c r="BA10" s="135">
        <v>986935</v>
      </c>
      <c r="BB10" s="135">
        <v>509881</v>
      </c>
      <c r="BC10" s="135">
        <v>1721054</v>
      </c>
      <c r="BD10" s="144">
        <v>44709</v>
      </c>
      <c r="BE10" s="135">
        <v>1077939</v>
      </c>
      <c r="BF10" s="144">
        <v>0</v>
      </c>
      <c r="BG10" s="135">
        <v>1159775</v>
      </c>
      <c r="BH10" s="135">
        <v>402692</v>
      </c>
      <c r="BI10" s="135">
        <v>907621</v>
      </c>
      <c r="BJ10" s="135">
        <v>401698</v>
      </c>
      <c r="BK10" s="114"/>
      <c r="BL10" s="114">
        <f t="shared" si="0"/>
        <v>53247558</v>
      </c>
    </row>
    <row r="11" spans="1:64" x14ac:dyDescent="0.25">
      <c r="A11" s="113">
        <v>2310</v>
      </c>
      <c r="B11" s="191">
        <v>540</v>
      </c>
      <c r="C11" s="195" t="s">
        <v>111</v>
      </c>
      <c r="D11" s="114"/>
      <c r="E11" s="135">
        <v>0</v>
      </c>
      <c r="F11" s="135">
        <v>0</v>
      </c>
      <c r="G11" s="135">
        <v>0</v>
      </c>
      <c r="H11" s="144">
        <v>0</v>
      </c>
      <c r="I11" s="135">
        <v>0</v>
      </c>
      <c r="J11" s="135">
        <v>0</v>
      </c>
      <c r="K11" s="135">
        <v>0</v>
      </c>
      <c r="L11" s="135">
        <v>0</v>
      </c>
      <c r="M11" s="135">
        <v>0</v>
      </c>
      <c r="N11" s="135">
        <v>665011</v>
      </c>
      <c r="O11" s="135">
        <v>0</v>
      </c>
      <c r="P11" s="135">
        <v>0</v>
      </c>
      <c r="Q11" s="135">
        <v>0</v>
      </c>
      <c r="R11" s="135">
        <v>0</v>
      </c>
      <c r="S11" s="144">
        <v>0</v>
      </c>
      <c r="T11" s="135">
        <v>0</v>
      </c>
      <c r="U11" s="144">
        <v>0</v>
      </c>
      <c r="V11" s="135">
        <v>0</v>
      </c>
      <c r="W11" s="135">
        <v>0</v>
      </c>
      <c r="X11" s="135">
        <v>0</v>
      </c>
      <c r="Y11" s="144">
        <v>0</v>
      </c>
      <c r="Z11" s="135">
        <v>7425</v>
      </c>
      <c r="AA11" s="135">
        <v>0</v>
      </c>
      <c r="AB11" s="135">
        <v>0</v>
      </c>
      <c r="AC11" s="144">
        <v>0</v>
      </c>
      <c r="AD11" s="144">
        <v>0</v>
      </c>
      <c r="AE11" s="135">
        <v>0</v>
      </c>
      <c r="AF11" s="135">
        <v>0</v>
      </c>
      <c r="AG11" s="135">
        <v>0</v>
      </c>
      <c r="AH11" s="135">
        <v>205711</v>
      </c>
      <c r="AI11" s="135">
        <v>0</v>
      </c>
      <c r="AJ11" s="135">
        <v>0</v>
      </c>
      <c r="AK11" s="144">
        <v>0</v>
      </c>
      <c r="AL11" s="144">
        <v>0</v>
      </c>
      <c r="AM11" s="135">
        <v>0</v>
      </c>
      <c r="AN11" s="135">
        <v>0</v>
      </c>
      <c r="AO11" s="144">
        <v>0</v>
      </c>
      <c r="AP11" s="135">
        <v>0</v>
      </c>
      <c r="AQ11" s="135">
        <v>0</v>
      </c>
      <c r="AR11" s="135">
        <v>0</v>
      </c>
      <c r="AS11" s="135">
        <v>0</v>
      </c>
      <c r="AT11" s="144">
        <v>0</v>
      </c>
      <c r="AU11" s="135">
        <v>0</v>
      </c>
      <c r="AV11" s="135">
        <v>0</v>
      </c>
      <c r="AW11" s="135">
        <v>0</v>
      </c>
      <c r="AX11" s="135">
        <v>0</v>
      </c>
      <c r="AY11" s="144">
        <v>0</v>
      </c>
      <c r="AZ11" s="135">
        <v>0</v>
      </c>
      <c r="BA11" s="135">
        <v>0</v>
      </c>
      <c r="BB11" s="135">
        <v>0</v>
      </c>
      <c r="BC11" s="135">
        <v>0</v>
      </c>
      <c r="BD11" s="144">
        <v>0</v>
      </c>
      <c r="BE11" s="135">
        <v>0</v>
      </c>
      <c r="BF11" s="144">
        <v>0</v>
      </c>
      <c r="BG11" s="135">
        <v>0</v>
      </c>
      <c r="BH11" s="135">
        <v>0</v>
      </c>
      <c r="BI11" s="135">
        <v>4761549</v>
      </c>
      <c r="BJ11" s="135">
        <v>0</v>
      </c>
      <c r="BK11" s="114"/>
      <c r="BL11" s="114">
        <f>SUM(E11:BK11)</f>
        <v>5639696</v>
      </c>
    </row>
    <row r="12" spans="1:64" x14ac:dyDescent="0.25">
      <c r="A12" s="113">
        <v>2420</v>
      </c>
      <c r="B12" s="191">
        <v>550</v>
      </c>
      <c r="C12" s="195" t="s">
        <v>269</v>
      </c>
      <c r="D12" s="114"/>
      <c r="E12" s="135">
        <v>0</v>
      </c>
      <c r="F12" s="135">
        <v>0</v>
      </c>
      <c r="G12" s="135">
        <v>0</v>
      </c>
      <c r="H12" s="144">
        <v>0</v>
      </c>
      <c r="I12" s="135">
        <v>0</v>
      </c>
      <c r="J12" s="135">
        <v>0</v>
      </c>
      <c r="K12" s="135">
        <v>0</v>
      </c>
      <c r="L12" s="135">
        <v>0</v>
      </c>
      <c r="M12" s="135">
        <v>0</v>
      </c>
      <c r="N12" s="135">
        <v>144417</v>
      </c>
      <c r="O12" s="135">
        <v>0</v>
      </c>
      <c r="P12" s="135">
        <v>0</v>
      </c>
      <c r="Q12" s="135">
        <v>280000</v>
      </c>
      <c r="R12" s="135">
        <v>0</v>
      </c>
      <c r="S12" s="144">
        <v>0</v>
      </c>
      <c r="T12" s="135">
        <v>0</v>
      </c>
      <c r="U12" s="144">
        <v>0</v>
      </c>
      <c r="V12" s="135">
        <v>0</v>
      </c>
      <c r="W12" s="135">
        <v>0</v>
      </c>
      <c r="X12" s="135">
        <v>0</v>
      </c>
      <c r="Y12" s="144">
        <v>0</v>
      </c>
      <c r="Z12" s="135">
        <v>0</v>
      </c>
      <c r="AA12" s="135">
        <v>0</v>
      </c>
      <c r="AB12" s="135">
        <v>0</v>
      </c>
      <c r="AC12" s="144">
        <v>0</v>
      </c>
      <c r="AD12" s="144">
        <v>0</v>
      </c>
      <c r="AE12" s="135">
        <v>0</v>
      </c>
      <c r="AF12" s="135">
        <v>0</v>
      </c>
      <c r="AG12" s="135">
        <v>0</v>
      </c>
      <c r="AH12" s="135">
        <v>7898</v>
      </c>
      <c r="AI12" s="135">
        <v>0</v>
      </c>
      <c r="AJ12" s="135">
        <v>0</v>
      </c>
      <c r="AK12" s="144">
        <v>0</v>
      </c>
      <c r="AL12" s="144">
        <v>0</v>
      </c>
      <c r="AM12" s="135">
        <v>0</v>
      </c>
      <c r="AN12" s="135">
        <v>0</v>
      </c>
      <c r="AO12" s="144">
        <v>0</v>
      </c>
      <c r="AP12" s="135">
        <v>0</v>
      </c>
      <c r="AQ12" s="135">
        <v>0</v>
      </c>
      <c r="AR12" s="135">
        <v>0</v>
      </c>
      <c r="AS12" s="135">
        <v>0</v>
      </c>
      <c r="AT12" s="144">
        <v>0</v>
      </c>
      <c r="AU12" s="135">
        <v>0</v>
      </c>
      <c r="AV12" s="135">
        <v>0</v>
      </c>
      <c r="AW12" s="135">
        <v>0</v>
      </c>
      <c r="AX12" s="135">
        <v>2000</v>
      </c>
      <c r="AY12" s="144">
        <v>0</v>
      </c>
      <c r="AZ12" s="135">
        <v>0</v>
      </c>
      <c r="BA12" s="135">
        <v>0</v>
      </c>
      <c r="BB12" s="135">
        <v>0</v>
      </c>
      <c r="BC12" s="135">
        <v>0</v>
      </c>
      <c r="BD12" s="144">
        <v>0</v>
      </c>
      <c r="BE12" s="135">
        <v>0</v>
      </c>
      <c r="BF12" s="144">
        <v>0</v>
      </c>
      <c r="BG12" s="135">
        <v>0</v>
      </c>
      <c r="BH12" s="135">
        <v>0</v>
      </c>
      <c r="BI12" s="135">
        <v>0</v>
      </c>
      <c r="BJ12" s="135">
        <v>35228</v>
      </c>
      <c r="BK12" s="114"/>
      <c r="BL12" s="114">
        <f t="shared" si="0"/>
        <v>469543</v>
      </c>
    </row>
    <row r="13" spans="1:64" x14ac:dyDescent="0.25">
      <c r="A13" s="113">
        <v>2740</v>
      </c>
      <c r="B13" s="191">
        <v>555</v>
      </c>
      <c r="C13" s="195" t="s">
        <v>113</v>
      </c>
      <c r="D13" s="114"/>
      <c r="E13" s="135">
        <v>0</v>
      </c>
      <c r="F13" s="135">
        <v>0</v>
      </c>
      <c r="G13" s="135">
        <v>0</v>
      </c>
      <c r="H13" s="144">
        <v>0</v>
      </c>
      <c r="I13" s="135">
        <v>0</v>
      </c>
      <c r="J13" s="135">
        <v>0</v>
      </c>
      <c r="K13" s="135">
        <v>0</v>
      </c>
      <c r="L13" s="135">
        <v>0</v>
      </c>
      <c r="M13" s="135">
        <v>0</v>
      </c>
      <c r="N13" s="135">
        <v>0</v>
      </c>
      <c r="O13" s="135">
        <v>0</v>
      </c>
      <c r="P13" s="135">
        <v>0</v>
      </c>
      <c r="Q13" s="135">
        <v>-88377</v>
      </c>
      <c r="R13" s="135">
        <v>0</v>
      </c>
      <c r="S13" s="144">
        <v>0</v>
      </c>
      <c r="T13" s="135">
        <v>0</v>
      </c>
      <c r="U13" s="144">
        <v>0</v>
      </c>
      <c r="V13" s="135">
        <v>0</v>
      </c>
      <c r="W13" s="135">
        <v>0</v>
      </c>
      <c r="X13" s="135">
        <v>0</v>
      </c>
      <c r="Y13" s="144">
        <v>0</v>
      </c>
      <c r="Z13" s="135">
        <v>0</v>
      </c>
      <c r="AA13" s="135">
        <v>0</v>
      </c>
      <c r="AB13" s="135">
        <v>0</v>
      </c>
      <c r="AC13" s="144">
        <v>0</v>
      </c>
      <c r="AD13" s="144">
        <v>0</v>
      </c>
      <c r="AE13" s="135">
        <v>0</v>
      </c>
      <c r="AF13" s="135">
        <v>0</v>
      </c>
      <c r="AG13" s="135">
        <v>0</v>
      </c>
      <c r="AH13" s="135">
        <v>0</v>
      </c>
      <c r="AI13" s="135">
        <v>0</v>
      </c>
      <c r="AJ13" s="135">
        <v>0</v>
      </c>
      <c r="AK13" s="144">
        <v>0</v>
      </c>
      <c r="AL13" s="144">
        <v>0</v>
      </c>
      <c r="AM13" s="135">
        <v>0</v>
      </c>
      <c r="AN13" s="135">
        <v>0</v>
      </c>
      <c r="AO13" s="144">
        <v>0</v>
      </c>
      <c r="AP13" s="135">
        <v>0</v>
      </c>
      <c r="AQ13" s="135">
        <v>0</v>
      </c>
      <c r="AR13" s="135">
        <v>0</v>
      </c>
      <c r="AS13" s="135">
        <v>0</v>
      </c>
      <c r="AT13" s="144">
        <v>0</v>
      </c>
      <c r="AU13" s="135">
        <v>0</v>
      </c>
      <c r="AV13" s="135">
        <v>0</v>
      </c>
      <c r="AW13" s="135">
        <v>0</v>
      </c>
      <c r="AX13" s="135">
        <v>0</v>
      </c>
      <c r="AY13" s="144">
        <v>0</v>
      </c>
      <c r="AZ13" s="135">
        <v>0</v>
      </c>
      <c r="BA13" s="135">
        <v>0</v>
      </c>
      <c r="BB13" s="135">
        <v>0</v>
      </c>
      <c r="BC13" s="135">
        <v>0</v>
      </c>
      <c r="BD13" s="144">
        <v>0</v>
      </c>
      <c r="BE13" s="135">
        <v>0</v>
      </c>
      <c r="BF13" s="144">
        <v>0</v>
      </c>
      <c r="BG13" s="135">
        <v>0</v>
      </c>
      <c r="BH13" s="135">
        <v>0</v>
      </c>
      <c r="BI13" s="135">
        <v>0</v>
      </c>
      <c r="BJ13" s="135">
        <v>0</v>
      </c>
      <c r="BK13" s="114"/>
      <c r="BL13" s="114">
        <f t="shared" si="0"/>
        <v>-88377</v>
      </c>
    </row>
    <row r="14" spans="1:64" x14ac:dyDescent="0.25">
      <c r="A14" s="113">
        <v>2800</v>
      </c>
      <c r="B14" s="191">
        <v>560</v>
      </c>
      <c r="C14" s="195" t="s">
        <v>611</v>
      </c>
      <c r="D14" s="114"/>
      <c r="E14" s="135">
        <v>0</v>
      </c>
      <c r="F14" s="135">
        <v>0</v>
      </c>
      <c r="G14" s="135">
        <v>16330</v>
      </c>
      <c r="H14" s="145">
        <v>0</v>
      </c>
      <c r="I14" s="135">
        <v>0</v>
      </c>
      <c r="J14" s="135">
        <v>1517</v>
      </c>
      <c r="K14" s="135">
        <v>0</v>
      </c>
      <c r="L14" s="135">
        <v>0</v>
      </c>
      <c r="M14" s="135">
        <v>0</v>
      </c>
      <c r="N14" s="135">
        <v>0</v>
      </c>
      <c r="O14" s="135">
        <v>0</v>
      </c>
      <c r="P14" s="135">
        <v>0</v>
      </c>
      <c r="Q14" s="135">
        <v>1240</v>
      </c>
      <c r="R14" s="135">
        <v>1360</v>
      </c>
      <c r="S14" s="145">
        <v>0</v>
      </c>
      <c r="T14" s="135">
        <v>22</v>
      </c>
      <c r="U14" s="145">
        <v>0</v>
      </c>
      <c r="V14" s="135">
        <v>15638</v>
      </c>
      <c r="W14" s="135">
        <v>0</v>
      </c>
      <c r="X14" s="135">
        <v>0</v>
      </c>
      <c r="Y14" s="145">
        <v>0</v>
      </c>
      <c r="Z14" s="135">
        <v>0</v>
      </c>
      <c r="AA14" s="135">
        <v>0</v>
      </c>
      <c r="AB14" s="135">
        <v>7814</v>
      </c>
      <c r="AC14" s="145">
        <v>0</v>
      </c>
      <c r="AD14" s="145">
        <v>0</v>
      </c>
      <c r="AE14" s="135">
        <v>0</v>
      </c>
      <c r="AF14" s="135">
        <v>0</v>
      </c>
      <c r="AG14" s="135">
        <v>0</v>
      </c>
      <c r="AH14" s="135">
        <v>82</v>
      </c>
      <c r="AI14" s="135">
        <v>530</v>
      </c>
      <c r="AJ14" s="135">
        <v>0</v>
      </c>
      <c r="AK14" s="145">
        <v>0</v>
      </c>
      <c r="AL14" s="145">
        <v>0</v>
      </c>
      <c r="AM14" s="135">
        <v>0</v>
      </c>
      <c r="AN14" s="135">
        <v>2194</v>
      </c>
      <c r="AO14" s="145">
        <v>0</v>
      </c>
      <c r="AP14" s="135">
        <v>0</v>
      </c>
      <c r="AQ14" s="135">
        <v>0</v>
      </c>
      <c r="AR14" s="135">
        <v>0</v>
      </c>
      <c r="AS14" s="135">
        <v>5305</v>
      </c>
      <c r="AT14" s="145">
        <v>0</v>
      </c>
      <c r="AU14" s="135">
        <v>0</v>
      </c>
      <c r="AV14" s="135">
        <v>0</v>
      </c>
      <c r="AW14" s="135">
        <v>24783</v>
      </c>
      <c r="AX14" s="135">
        <v>0</v>
      </c>
      <c r="AY14" s="145">
        <v>0</v>
      </c>
      <c r="AZ14" s="135">
        <v>0</v>
      </c>
      <c r="BA14" s="135">
        <v>0</v>
      </c>
      <c r="BB14" s="135">
        <v>34863</v>
      </c>
      <c r="BC14" s="135">
        <v>349</v>
      </c>
      <c r="BD14" s="145">
        <v>0</v>
      </c>
      <c r="BE14" s="135">
        <v>0</v>
      </c>
      <c r="BF14" s="145">
        <v>0</v>
      </c>
      <c r="BG14" s="135">
        <v>0</v>
      </c>
      <c r="BH14" s="135">
        <v>0</v>
      </c>
      <c r="BI14" s="135">
        <v>467291</v>
      </c>
      <c r="BJ14" s="135">
        <v>4591</v>
      </c>
      <c r="BK14" s="144"/>
      <c r="BL14" s="114">
        <f t="shared" si="0"/>
        <v>583909</v>
      </c>
    </row>
    <row r="15" spans="1:64" x14ac:dyDescent="0.25">
      <c r="A15" s="113"/>
      <c r="B15" s="191"/>
      <c r="C15" s="193" t="s">
        <v>115</v>
      </c>
      <c r="D15" s="114"/>
      <c r="E15" s="117">
        <f t="shared" ref="E15:AJ15" si="1">SUM(E7:E14)</f>
        <v>2220238</v>
      </c>
      <c r="F15" s="117">
        <f t="shared" si="1"/>
        <v>963535</v>
      </c>
      <c r="G15" s="117">
        <f t="shared" si="1"/>
        <v>2802216</v>
      </c>
      <c r="H15" s="117">
        <f t="shared" si="1"/>
        <v>0</v>
      </c>
      <c r="I15" s="117">
        <f t="shared" si="1"/>
        <v>618014</v>
      </c>
      <c r="J15" s="117">
        <f t="shared" si="1"/>
        <v>3524011</v>
      </c>
      <c r="K15" s="117">
        <f t="shared" si="1"/>
        <v>2408393</v>
      </c>
      <c r="L15" s="117">
        <f t="shared" si="1"/>
        <v>9169898</v>
      </c>
      <c r="M15" s="117">
        <f t="shared" si="1"/>
        <v>13935213</v>
      </c>
      <c r="N15" s="117">
        <f t="shared" si="1"/>
        <v>2340549</v>
      </c>
      <c r="O15" s="117">
        <f t="shared" si="1"/>
        <v>2375957</v>
      </c>
      <c r="P15" s="117">
        <f t="shared" si="1"/>
        <v>3468289</v>
      </c>
      <c r="Q15" s="117">
        <f t="shared" si="1"/>
        <v>22243611</v>
      </c>
      <c r="R15" s="117">
        <f t="shared" si="1"/>
        <v>2030337</v>
      </c>
      <c r="S15" s="117">
        <f t="shared" si="1"/>
        <v>0</v>
      </c>
      <c r="T15" s="117">
        <f t="shared" si="1"/>
        <v>1952340</v>
      </c>
      <c r="U15" s="117">
        <f t="shared" si="1"/>
        <v>0</v>
      </c>
      <c r="V15" s="117">
        <f t="shared" si="1"/>
        <v>4541050</v>
      </c>
      <c r="W15" s="117">
        <f t="shared" si="1"/>
        <v>10094349</v>
      </c>
      <c r="X15" s="117">
        <f t="shared" si="1"/>
        <v>1016844</v>
      </c>
      <c r="Y15" s="117">
        <f t="shared" si="1"/>
        <v>0</v>
      </c>
      <c r="Z15" s="117">
        <f t="shared" si="1"/>
        <v>2790409</v>
      </c>
      <c r="AA15" s="117">
        <f t="shared" si="1"/>
        <v>-1</v>
      </c>
      <c r="AB15" s="117">
        <f t="shared" si="1"/>
        <v>3422051</v>
      </c>
      <c r="AC15" s="117">
        <f t="shared" si="1"/>
        <v>0</v>
      </c>
      <c r="AD15" s="117">
        <f t="shared" si="1"/>
        <v>0</v>
      </c>
      <c r="AE15" s="117">
        <f t="shared" si="1"/>
        <v>1424832</v>
      </c>
      <c r="AF15" s="117">
        <f t="shared" si="1"/>
        <v>595171</v>
      </c>
      <c r="AG15" s="117">
        <f t="shared" si="1"/>
        <v>2679477</v>
      </c>
      <c r="AH15" s="117">
        <f t="shared" si="1"/>
        <v>2871198</v>
      </c>
      <c r="AI15" s="117">
        <f t="shared" si="1"/>
        <v>139199</v>
      </c>
      <c r="AJ15" s="117">
        <f t="shared" si="1"/>
        <v>10375260</v>
      </c>
      <c r="AK15" s="117">
        <f t="shared" ref="AK15:BJ15" si="2">SUM(AK7:AK14)</f>
        <v>0</v>
      </c>
      <c r="AL15" s="117">
        <f t="shared" si="2"/>
        <v>0</v>
      </c>
      <c r="AM15" s="117">
        <f t="shared" si="2"/>
        <v>915107</v>
      </c>
      <c r="AN15" s="117">
        <f t="shared" si="2"/>
        <v>2521518</v>
      </c>
      <c r="AO15" s="117">
        <f t="shared" si="2"/>
        <v>0</v>
      </c>
      <c r="AP15" s="117">
        <f t="shared" si="2"/>
        <v>1397193</v>
      </c>
      <c r="AQ15" s="117">
        <f t="shared" si="2"/>
        <v>2101524</v>
      </c>
      <c r="AR15" s="117">
        <f t="shared" si="2"/>
        <v>1948649</v>
      </c>
      <c r="AS15" s="117">
        <f t="shared" si="2"/>
        <v>1550166</v>
      </c>
      <c r="AT15" s="117">
        <f t="shared" si="2"/>
        <v>0</v>
      </c>
      <c r="AU15" s="117">
        <f t="shared" si="2"/>
        <v>835583</v>
      </c>
      <c r="AV15" s="117">
        <f t="shared" si="2"/>
        <v>3318804</v>
      </c>
      <c r="AW15" s="117">
        <f t="shared" si="2"/>
        <v>2522999</v>
      </c>
      <c r="AX15" s="117">
        <f t="shared" si="2"/>
        <v>1050967</v>
      </c>
      <c r="AY15" s="117">
        <f t="shared" si="2"/>
        <v>0</v>
      </c>
      <c r="AZ15" s="117">
        <f t="shared" si="2"/>
        <v>1705113</v>
      </c>
      <c r="BA15" s="117">
        <f t="shared" si="2"/>
        <v>1773686</v>
      </c>
      <c r="BB15" s="117">
        <f t="shared" si="2"/>
        <v>904809</v>
      </c>
      <c r="BC15" s="117">
        <f t="shared" si="2"/>
        <v>3428832</v>
      </c>
      <c r="BD15" s="117">
        <f t="shared" si="2"/>
        <v>190192</v>
      </c>
      <c r="BE15" s="117">
        <f t="shared" si="2"/>
        <v>1688013</v>
      </c>
      <c r="BF15" s="117">
        <f t="shared" si="2"/>
        <v>0</v>
      </c>
      <c r="BG15" s="117">
        <f t="shared" si="2"/>
        <v>2924468</v>
      </c>
      <c r="BH15" s="117">
        <f t="shared" si="2"/>
        <v>801268</v>
      </c>
      <c r="BI15" s="117">
        <f t="shared" si="2"/>
        <v>8188743</v>
      </c>
      <c r="BJ15" s="117">
        <f t="shared" si="2"/>
        <v>604681</v>
      </c>
      <c r="BK15" s="114"/>
      <c r="BL15" s="117">
        <f>SUM(BL7:BL14)</f>
        <v>150374755</v>
      </c>
    </row>
    <row r="16" spans="1:64" x14ac:dyDescent="0.25">
      <c r="A16" s="113"/>
      <c r="B16" s="112"/>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row>
    <row r="17" spans="1:64" x14ac:dyDescent="0.25">
      <c r="A17" s="113"/>
      <c r="B17" s="112"/>
      <c r="C17" s="109" t="s">
        <v>271</v>
      </c>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row>
    <row r="18" spans="1:64" x14ac:dyDescent="0.25">
      <c r="A18" s="113">
        <v>2594</v>
      </c>
      <c r="B18" s="110">
        <v>604</v>
      </c>
      <c r="C18" s="118" t="s">
        <v>612</v>
      </c>
      <c r="D18" s="119"/>
      <c r="E18" s="138">
        <v>0</v>
      </c>
      <c r="F18" s="138">
        <v>56416</v>
      </c>
      <c r="G18" s="138">
        <v>174931</v>
      </c>
      <c r="H18" s="147">
        <v>0</v>
      </c>
      <c r="I18" s="138">
        <v>166607</v>
      </c>
      <c r="J18" s="138">
        <v>0</v>
      </c>
      <c r="K18" s="138">
        <v>629314</v>
      </c>
      <c r="L18" s="138">
        <v>976121</v>
      </c>
      <c r="M18" s="138">
        <v>957243</v>
      </c>
      <c r="N18" s="138">
        <v>165348</v>
      </c>
      <c r="O18" s="138">
        <v>199876</v>
      </c>
      <c r="P18" s="138">
        <v>1849069</v>
      </c>
      <c r="Q18" s="138">
        <v>3391394</v>
      </c>
      <c r="R18" s="138">
        <v>160676</v>
      </c>
      <c r="S18" s="146">
        <v>0</v>
      </c>
      <c r="T18" s="138">
        <v>596192</v>
      </c>
      <c r="U18" s="147">
        <v>0</v>
      </c>
      <c r="V18" s="138">
        <v>833854</v>
      </c>
      <c r="W18" s="138">
        <v>0</v>
      </c>
      <c r="X18" s="138">
        <v>85729</v>
      </c>
      <c r="Y18" s="147">
        <v>0</v>
      </c>
      <c r="Z18" s="138">
        <v>466512</v>
      </c>
      <c r="AA18" s="138">
        <v>0</v>
      </c>
      <c r="AB18" s="138">
        <v>513760</v>
      </c>
      <c r="AC18" s="147">
        <v>0</v>
      </c>
      <c r="AD18" s="147">
        <v>0</v>
      </c>
      <c r="AE18" s="138">
        <v>60572</v>
      </c>
      <c r="AF18" s="138">
        <v>67148</v>
      </c>
      <c r="AG18" s="138">
        <v>335583</v>
      </c>
      <c r="AH18" s="138">
        <v>264611</v>
      </c>
      <c r="AI18" s="138">
        <v>14482</v>
      </c>
      <c r="AJ18" s="138">
        <v>183007</v>
      </c>
      <c r="AK18" s="147">
        <v>0</v>
      </c>
      <c r="AL18" s="147">
        <v>0</v>
      </c>
      <c r="AM18" s="138">
        <v>152193</v>
      </c>
      <c r="AN18" s="138">
        <v>284455</v>
      </c>
      <c r="AO18" s="147">
        <v>0</v>
      </c>
      <c r="AP18" s="138">
        <v>0</v>
      </c>
      <c r="AQ18" s="138">
        <v>327567</v>
      </c>
      <c r="AR18" s="138">
        <v>283939</v>
      </c>
      <c r="AS18" s="138">
        <v>0</v>
      </c>
      <c r="AT18" s="147">
        <v>0</v>
      </c>
      <c r="AU18" s="138">
        <v>181544</v>
      </c>
      <c r="AV18" s="138">
        <v>0</v>
      </c>
      <c r="AW18" s="138">
        <v>384121</v>
      </c>
      <c r="AX18" s="138">
        <v>272157</v>
      </c>
      <c r="AY18" s="147">
        <v>0</v>
      </c>
      <c r="AZ18" s="138">
        <v>0</v>
      </c>
      <c r="BA18" s="138">
        <v>256368</v>
      </c>
      <c r="BB18" s="138">
        <v>103187</v>
      </c>
      <c r="BC18" s="138">
        <v>28000</v>
      </c>
      <c r="BD18" s="147">
        <v>0</v>
      </c>
      <c r="BE18" s="138">
        <v>0</v>
      </c>
      <c r="BF18" s="147">
        <v>0</v>
      </c>
      <c r="BG18" s="138">
        <v>367070</v>
      </c>
      <c r="BH18" s="138">
        <v>86690</v>
      </c>
      <c r="BI18" s="138">
        <v>0</v>
      </c>
      <c r="BJ18" s="138">
        <v>0</v>
      </c>
      <c r="BK18" s="134"/>
      <c r="BL18" s="120">
        <f>SUM(E18:BK18)</f>
        <v>14875736</v>
      </c>
    </row>
    <row r="19" spans="1:64" ht="15" x14ac:dyDescent="0.25">
      <c r="A19" s="113">
        <v>2593</v>
      </c>
      <c r="B19" s="110">
        <v>600</v>
      </c>
      <c r="C19" s="118" t="s">
        <v>613</v>
      </c>
      <c r="D19" s="120"/>
      <c r="E19" s="138">
        <v>0</v>
      </c>
      <c r="F19" s="138">
        <v>361997</v>
      </c>
      <c r="G19" s="138">
        <v>944729</v>
      </c>
      <c r="H19" s="146">
        <v>0</v>
      </c>
      <c r="I19" s="138">
        <v>0</v>
      </c>
      <c r="J19" s="138">
        <v>2266214</v>
      </c>
      <c r="K19" s="138">
        <v>0</v>
      </c>
      <c r="L19" s="138">
        <v>0</v>
      </c>
      <c r="M19" s="138">
        <v>1300759</v>
      </c>
      <c r="N19" s="138">
        <v>468690</v>
      </c>
      <c r="O19" s="138">
        <v>0</v>
      </c>
      <c r="P19" s="138">
        <v>0</v>
      </c>
      <c r="Q19" s="138">
        <v>6106758</v>
      </c>
      <c r="R19" s="138">
        <v>0</v>
      </c>
      <c r="S19" s="146">
        <v>0</v>
      </c>
      <c r="T19" s="138">
        <v>221287</v>
      </c>
      <c r="U19" s="146">
        <v>0</v>
      </c>
      <c r="V19" s="138">
        <v>0</v>
      </c>
      <c r="W19" s="138">
        <v>489496</v>
      </c>
      <c r="X19" s="138">
        <v>5454</v>
      </c>
      <c r="Y19" s="146">
        <v>0</v>
      </c>
      <c r="Z19" s="138">
        <v>665620</v>
      </c>
      <c r="AA19" s="138">
        <v>0</v>
      </c>
      <c r="AB19" s="138">
        <v>70494</v>
      </c>
      <c r="AC19" s="146">
        <v>0</v>
      </c>
      <c r="AD19" s="146">
        <v>0</v>
      </c>
      <c r="AE19" s="138">
        <v>274299</v>
      </c>
      <c r="AF19" s="138">
        <v>0</v>
      </c>
      <c r="AG19" s="138">
        <v>198020</v>
      </c>
      <c r="AH19" s="138">
        <v>176012</v>
      </c>
      <c r="AI19" s="138">
        <v>0</v>
      </c>
      <c r="AJ19" s="138">
        <v>171230</v>
      </c>
      <c r="AK19" s="146">
        <v>0</v>
      </c>
      <c r="AL19" s="146">
        <v>0</v>
      </c>
      <c r="AM19" s="138">
        <v>44454</v>
      </c>
      <c r="AN19" s="138">
        <v>50039</v>
      </c>
      <c r="AO19" s="146">
        <v>0</v>
      </c>
      <c r="AP19" s="138">
        <v>0</v>
      </c>
      <c r="AQ19" s="138">
        <v>41451</v>
      </c>
      <c r="AR19" s="138">
        <v>200598</v>
      </c>
      <c r="AS19" s="138">
        <v>438449</v>
      </c>
      <c r="AT19" s="146">
        <v>0</v>
      </c>
      <c r="AU19" s="138">
        <v>0</v>
      </c>
      <c r="AV19" s="138">
        <v>1512042</v>
      </c>
      <c r="AW19" s="138">
        <v>5706</v>
      </c>
      <c r="AX19" s="138">
        <v>61531</v>
      </c>
      <c r="AY19" s="146">
        <v>0</v>
      </c>
      <c r="AZ19" s="138">
        <v>652579</v>
      </c>
      <c r="BA19" s="138">
        <v>0</v>
      </c>
      <c r="BB19" s="138">
        <v>160628</v>
      </c>
      <c r="BC19" s="138">
        <v>76000</v>
      </c>
      <c r="BD19" s="146">
        <v>0</v>
      </c>
      <c r="BE19" s="138">
        <v>175037</v>
      </c>
      <c r="BF19" s="146">
        <v>0</v>
      </c>
      <c r="BG19" s="138">
        <v>65812</v>
      </c>
      <c r="BH19" s="138">
        <v>7686</v>
      </c>
      <c r="BI19" s="138">
        <v>3441815</v>
      </c>
      <c r="BJ19" s="138">
        <v>128752</v>
      </c>
      <c r="BK19" s="133"/>
      <c r="BL19" s="120">
        <f>SUM(E19:BK19)</f>
        <v>20783638</v>
      </c>
    </row>
    <row r="20" spans="1:64" ht="15" x14ac:dyDescent="0.25">
      <c r="A20" s="113">
        <v>2596</v>
      </c>
      <c r="B20" s="110">
        <v>602</v>
      </c>
      <c r="C20" s="118" t="s">
        <v>614</v>
      </c>
      <c r="D20" s="120"/>
      <c r="E20" s="138">
        <v>0</v>
      </c>
      <c r="F20" s="138">
        <v>311500</v>
      </c>
      <c r="G20" s="138">
        <v>6228</v>
      </c>
      <c r="H20" s="146">
        <v>0</v>
      </c>
      <c r="I20" s="138">
        <v>16500</v>
      </c>
      <c r="J20" s="138">
        <v>0</v>
      </c>
      <c r="K20" s="138">
        <v>0</v>
      </c>
      <c r="L20" s="138">
        <v>0</v>
      </c>
      <c r="M20" s="138">
        <v>0</v>
      </c>
      <c r="N20" s="138">
        <v>241838</v>
      </c>
      <c r="O20" s="138">
        <v>0</v>
      </c>
      <c r="P20" s="138">
        <v>0</v>
      </c>
      <c r="Q20" s="138">
        <v>1577478</v>
      </c>
      <c r="R20" s="138">
        <v>332165</v>
      </c>
      <c r="S20" s="146">
        <v>0</v>
      </c>
      <c r="T20" s="138">
        <v>0</v>
      </c>
      <c r="U20" s="146">
        <v>0</v>
      </c>
      <c r="V20" s="138">
        <v>0</v>
      </c>
      <c r="W20" s="138">
        <v>0</v>
      </c>
      <c r="X20" s="138">
        <v>0</v>
      </c>
      <c r="Y20" s="146">
        <v>0</v>
      </c>
      <c r="Z20" s="138">
        <v>86325</v>
      </c>
      <c r="AA20" s="138">
        <v>0</v>
      </c>
      <c r="AB20" s="138">
        <v>143778</v>
      </c>
      <c r="AC20" s="146">
        <v>0</v>
      </c>
      <c r="AD20" s="146">
        <v>0</v>
      </c>
      <c r="AE20" s="138">
        <v>0</v>
      </c>
      <c r="AF20" s="138">
        <v>0</v>
      </c>
      <c r="AG20" s="138">
        <v>0</v>
      </c>
      <c r="AH20" s="138">
        <v>90000</v>
      </c>
      <c r="AI20" s="138">
        <v>0</v>
      </c>
      <c r="AJ20" s="138">
        <v>5859755</v>
      </c>
      <c r="AK20" s="146">
        <v>0</v>
      </c>
      <c r="AL20" s="146">
        <v>0</v>
      </c>
      <c r="AM20" s="138">
        <v>0</v>
      </c>
      <c r="AN20" s="138">
        <v>0</v>
      </c>
      <c r="AO20" s="146">
        <v>0</v>
      </c>
      <c r="AP20" s="138">
        <v>0</v>
      </c>
      <c r="AQ20" s="138">
        <v>40000</v>
      </c>
      <c r="AR20" s="138">
        <v>0</v>
      </c>
      <c r="AS20" s="138">
        <v>0</v>
      </c>
      <c r="AT20" s="146">
        <v>0</v>
      </c>
      <c r="AU20" s="138">
        <v>0</v>
      </c>
      <c r="AV20" s="138">
        <v>0</v>
      </c>
      <c r="AW20" s="138">
        <v>20000</v>
      </c>
      <c r="AX20" s="138">
        <v>0</v>
      </c>
      <c r="AY20" s="146">
        <v>0</v>
      </c>
      <c r="AZ20" s="138">
        <v>0</v>
      </c>
      <c r="BA20" s="138">
        <v>0</v>
      </c>
      <c r="BB20" s="138">
        <v>0</v>
      </c>
      <c r="BC20" s="138">
        <v>0</v>
      </c>
      <c r="BD20" s="146">
        <v>0</v>
      </c>
      <c r="BE20" s="138">
        <v>0</v>
      </c>
      <c r="BF20" s="146">
        <v>0</v>
      </c>
      <c r="BG20" s="138">
        <v>229513</v>
      </c>
      <c r="BH20" s="138">
        <v>0</v>
      </c>
      <c r="BI20" s="138">
        <v>201330</v>
      </c>
      <c r="BJ20" s="138">
        <v>0</v>
      </c>
      <c r="BK20" s="133"/>
      <c r="BL20" s="120">
        <f>SUM(E20:BK20)</f>
        <v>9156410</v>
      </c>
    </row>
    <row r="21" spans="1:64" x14ac:dyDescent="0.25">
      <c r="A21" s="113">
        <v>2630</v>
      </c>
      <c r="B21" s="191">
        <v>610</v>
      </c>
      <c r="C21" s="194" t="s">
        <v>278</v>
      </c>
      <c r="D21" s="114"/>
      <c r="E21" s="135">
        <v>2237512</v>
      </c>
      <c r="F21" s="135">
        <v>367370</v>
      </c>
      <c r="G21" s="135">
        <v>753144</v>
      </c>
      <c r="H21" s="145">
        <v>0</v>
      </c>
      <c r="I21" s="135">
        <v>204265</v>
      </c>
      <c r="J21" s="135">
        <v>400658</v>
      </c>
      <c r="K21" s="135">
        <v>556651</v>
      </c>
      <c r="L21" s="135">
        <v>349830</v>
      </c>
      <c r="M21" s="135">
        <v>1721342</v>
      </c>
      <c r="N21" s="135">
        <v>512862</v>
      </c>
      <c r="O21" s="135">
        <v>1395223</v>
      </c>
      <c r="P21" s="135">
        <v>0</v>
      </c>
      <c r="Q21" s="135">
        <v>7979837</v>
      </c>
      <c r="R21" s="135">
        <v>438557</v>
      </c>
      <c r="S21" s="144">
        <v>0</v>
      </c>
      <c r="T21" s="135">
        <v>376949</v>
      </c>
      <c r="U21" s="144">
        <v>0</v>
      </c>
      <c r="V21" s="135">
        <v>275451</v>
      </c>
      <c r="W21" s="135">
        <v>3290679</v>
      </c>
      <c r="X21" s="135">
        <v>248095</v>
      </c>
      <c r="Y21" s="144">
        <v>0</v>
      </c>
      <c r="Z21" s="135">
        <v>466850</v>
      </c>
      <c r="AA21" s="135">
        <v>15402</v>
      </c>
      <c r="AB21" s="135">
        <v>799782</v>
      </c>
      <c r="AC21" s="144">
        <v>0</v>
      </c>
      <c r="AD21" s="144">
        <v>0</v>
      </c>
      <c r="AE21" s="135">
        <v>424340</v>
      </c>
      <c r="AF21" s="135">
        <v>128391</v>
      </c>
      <c r="AG21" s="135">
        <v>911187</v>
      </c>
      <c r="AH21" s="135">
        <v>807254</v>
      </c>
      <c r="AI21" s="135">
        <v>71312</v>
      </c>
      <c r="AJ21" s="135">
        <v>210950</v>
      </c>
      <c r="AK21" s="144">
        <v>0</v>
      </c>
      <c r="AL21" s="144">
        <v>0</v>
      </c>
      <c r="AM21" s="135">
        <v>95556</v>
      </c>
      <c r="AN21" s="135">
        <v>371423</v>
      </c>
      <c r="AO21" s="144">
        <v>0</v>
      </c>
      <c r="AP21" s="135">
        <v>1096546</v>
      </c>
      <c r="AQ21" s="135">
        <v>540270</v>
      </c>
      <c r="AR21" s="135">
        <v>180926</v>
      </c>
      <c r="AS21" s="135">
        <v>106245</v>
      </c>
      <c r="AT21" s="144">
        <v>0</v>
      </c>
      <c r="AU21" s="135">
        <v>155165</v>
      </c>
      <c r="AV21" s="135">
        <v>0</v>
      </c>
      <c r="AW21" s="135">
        <v>287362</v>
      </c>
      <c r="AX21" s="135">
        <v>67345</v>
      </c>
      <c r="AY21" s="144">
        <v>0</v>
      </c>
      <c r="AZ21" s="135">
        <v>100920</v>
      </c>
      <c r="BA21" s="135">
        <v>254660</v>
      </c>
      <c r="BB21" s="135">
        <v>100972</v>
      </c>
      <c r="BC21" s="135">
        <v>197555</v>
      </c>
      <c r="BD21" s="144">
        <v>105377</v>
      </c>
      <c r="BE21" s="135">
        <v>641172</v>
      </c>
      <c r="BF21" s="144">
        <v>0</v>
      </c>
      <c r="BG21" s="135">
        <v>290622</v>
      </c>
      <c r="BH21" s="135">
        <v>279689</v>
      </c>
      <c r="BI21" s="135">
        <v>3641891</v>
      </c>
      <c r="BJ21" s="135">
        <v>153907</v>
      </c>
      <c r="BK21" s="132"/>
      <c r="BL21" s="116">
        <f>SUM(E21:BK21)</f>
        <v>33611496</v>
      </c>
    </row>
    <row r="22" spans="1:64" x14ac:dyDescent="0.25">
      <c r="A22" s="113"/>
      <c r="B22" s="191"/>
      <c r="C22" s="193" t="s">
        <v>119</v>
      </c>
      <c r="D22" s="114"/>
      <c r="E22" s="117">
        <f>SUM(E18:E21)</f>
        <v>2237512</v>
      </c>
      <c r="F22" s="117">
        <f t="shared" ref="F22:BJ22" si="3">SUM(F18:F21)</f>
        <v>1097283</v>
      </c>
      <c r="G22" s="117">
        <f t="shared" si="3"/>
        <v>1879032</v>
      </c>
      <c r="H22" s="117">
        <f t="shared" si="3"/>
        <v>0</v>
      </c>
      <c r="I22" s="117">
        <f t="shared" si="3"/>
        <v>387372</v>
      </c>
      <c r="J22" s="117">
        <f t="shared" si="3"/>
        <v>2666872</v>
      </c>
      <c r="K22" s="117">
        <f t="shared" si="3"/>
        <v>1185965</v>
      </c>
      <c r="L22" s="117">
        <f t="shared" si="3"/>
        <v>1325951</v>
      </c>
      <c r="M22" s="117">
        <f t="shared" si="3"/>
        <v>3979344</v>
      </c>
      <c r="N22" s="117">
        <f t="shared" si="3"/>
        <v>1388738</v>
      </c>
      <c r="O22" s="117">
        <f t="shared" si="3"/>
        <v>1595099</v>
      </c>
      <c r="P22" s="117">
        <f t="shared" si="3"/>
        <v>1849069</v>
      </c>
      <c r="Q22" s="117">
        <f t="shared" si="3"/>
        <v>19055467</v>
      </c>
      <c r="R22" s="117">
        <f t="shared" si="3"/>
        <v>931398</v>
      </c>
      <c r="S22" s="117">
        <f t="shared" si="3"/>
        <v>0</v>
      </c>
      <c r="T22" s="117">
        <f t="shared" si="3"/>
        <v>1194428</v>
      </c>
      <c r="U22" s="117">
        <f t="shared" si="3"/>
        <v>0</v>
      </c>
      <c r="V22" s="117">
        <f t="shared" si="3"/>
        <v>1109305</v>
      </c>
      <c r="W22" s="117">
        <f t="shared" si="3"/>
        <v>3780175</v>
      </c>
      <c r="X22" s="117">
        <f t="shared" si="3"/>
        <v>339278</v>
      </c>
      <c r="Y22" s="117">
        <f t="shared" si="3"/>
        <v>0</v>
      </c>
      <c r="Z22" s="117">
        <f t="shared" si="3"/>
        <v>1685307</v>
      </c>
      <c r="AA22" s="117">
        <f t="shared" si="3"/>
        <v>15402</v>
      </c>
      <c r="AB22" s="117">
        <f t="shared" si="3"/>
        <v>1527814</v>
      </c>
      <c r="AC22" s="117">
        <f t="shared" si="3"/>
        <v>0</v>
      </c>
      <c r="AD22" s="117">
        <f t="shared" si="3"/>
        <v>0</v>
      </c>
      <c r="AE22" s="117">
        <f t="shared" si="3"/>
        <v>759211</v>
      </c>
      <c r="AF22" s="117">
        <f t="shared" si="3"/>
        <v>195539</v>
      </c>
      <c r="AG22" s="117">
        <f t="shared" si="3"/>
        <v>1444790</v>
      </c>
      <c r="AH22" s="117">
        <f t="shared" si="3"/>
        <v>1337877</v>
      </c>
      <c r="AI22" s="117">
        <f t="shared" si="3"/>
        <v>85794</v>
      </c>
      <c r="AJ22" s="117">
        <f t="shared" si="3"/>
        <v>6424942</v>
      </c>
      <c r="AK22" s="117">
        <f t="shared" si="3"/>
        <v>0</v>
      </c>
      <c r="AL22" s="117">
        <f t="shared" si="3"/>
        <v>0</v>
      </c>
      <c r="AM22" s="117">
        <f t="shared" si="3"/>
        <v>292203</v>
      </c>
      <c r="AN22" s="117">
        <f t="shared" si="3"/>
        <v>705917</v>
      </c>
      <c r="AO22" s="117">
        <f t="shared" si="3"/>
        <v>0</v>
      </c>
      <c r="AP22" s="117">
        <f t="shared" si="3"/>
        <v>1096546</v>
      </c>
      <c r="AQ22" s="117">
        <f t="shared" si="3"/>
        <v>949288</v>
      </c>
      <c r="AR22" s="117">
        <f t="shared" si="3"/>
        <v>665463</v>
      </c>
      <c r="AS22" s="117">
        <f t="shared" si="3"/>
        <v>544694</v>
      </c>
      <c r="AT22" s="117">
        <f t="shared" si="3"/>
        <v>0</v>
      </c>
      <c r="AU22" s="117">
        <f t="shared" si="3"/>
        <v>336709</v>
      </c>
      <c r="AV22" s="117">
        <f t="shared" si="3"/>
        <v>1512042</v>
      </c>
      <c r="AW22" s="117">
        <f t="shared" si="3"/>
        <v>697189</v>
      </c>
      <c r="AX22" s="117">
        <f t="shared" si="3"/>
        <v>401033</v>
      </c>
      <c r="AY22" s="117">
        <f t="shared" si="3"/>
        <v>0</v>
      </c>
      <c r="AZ22" s="117">
        <f t="shared" si="3"/>
        <v>753499</v>
      </c>
      <c r="BA22" s="117">
        <f t="shared" si="3"/>
        <v>511028</v>
      </c>
      <c r="BB22" s="117">
        <f t="shared" si="3"/>
        <v>364787</v>
      </c>
      <c r="BC22" s="117">
        <f t="shared" si="3"/>
        <v>301555</v>
      </c>
      <c r="BD22" s="117">
        <f t="shared" si="3"/>
        <v>105377</v>
      </c>
      <c r="BE22" s="117">
        <f t="shared" si="3"/>
        <v>816209</v>
      </c>
      <c r="BF22" s="117">
        <f t="shared" si="3"/>
        <v>0</v>
      </c>
      <c r="BG22" s="117">
        <f t="shared" si="3"/>
        <v>953017</v>
      </c>
      <c r="BH22" s="117">
        <f t="shared" si="3"/>
        <v>374065</v>
      </c>
      <c r="BI22" s="117">
        <f t="shared" si="3"/>
        <v>7285036</v>
      </c>
      <c r="BJ22" s="117">
        <f t="shared" si="3"/>
        <v>282659</v>
      </c>
      <c r="BK22" s="132"/>
      <c r="BL22" s="116">
        <f>SUM(BL18:BL21)</f>
        <v>78427280</v>
      </c>
    </row>
    <row r="23" spans="1:64" x14ac:dyDescent="0.25">
      <c r="A23" s="113"/>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row>
    <row r="24" spans="1:64" x14ac:dyDescent="0.25">
      <c r="A24" s="113"/>
      <c r="B24" s="114"/>
      <c r="C24" s="195" t="s">
        <v>279</v>
      </c>
      <c r="D24" s="114"/>
      <c r="E24" s="114">
        <v>-17274</v>
      </c>
      <c r="F24" s="114">
        <v>-133748</v>
      </c>
      <c r="G24" s="114">
        <v>923184</v>
      </c>
      <c r="H24" s="114">
        <v>0</v>
      </c>
      <c r="I24" s="114">
        <v>230642</v>
      </c>
      <c r="J24" s="114">
        <v>857139</v>
      </c>
      <c r="K24" s="114">
        <v>1222428</v>
      </c>
      <c r="L24" s="114">
        <v>7843947</v>
      </c>
      <c r="M24" s="114">
        <v>9955869</v>
      </c>
      <c r="N24" s="114">
        <v>951811</v>
      </c>
      <c r="O24" s="114">
        <v>780858</v>
      </c>
      <c r="P24" s="114">
        <v>1619220</v>
      </c>
      <c r="Q24" s="114">
        <v>3188144</v>
      </c>
      <c r="R24" s="114">
        <v>1098939</v>
      </c>
      <c r="S24" s="114">
        <v>0</v>
      </c>
      <c r="T24" s="114">
        <v>757912</v>
      </c>
      <c r="U24" s="114">
        <v>0</v>
      </c>
      <c r="V24" s="114">
        <v>3431745</v>
      </c>
      <c r="W24" s="114">
        <v>6314174</v>
      </c>
      <c r="X24" s="114">
        <v>677566</v>
      </c>
      <c r="Y24" s="114">
        <v>0</v>
      </c>
      <c r="Z24" s="114">
        <v>1105102</v>
      </c>
      <c r="AA24" s="114">
        <v>-15403</v>
      </c>
      <c r="AB24" s="114">
        <v>1894237</v>
      </c>
      <c r="AC24" s="114">
        <v>0</v>
      </c>
      <c r="AD24" s="114">
        <v>0</v>
      </c>
      <c r="AE24" s="114">
        <v>665621</v>
      </c>
      <c r="AF24" s="114">
        <v>399632</v>
      </c>
      <c r="AG24" s="114">
        <v>1234687</v>
      </c>
      <c r="AH24" s="114">
        <v>1533321</v>
      </c>
      <c r="AI24" s="114">
        <v>53405</v>
      </c>
      <c r="AJ24" s="114">
        <v>3950318</v>
      </c>
      <c r="AK24" s="114">
        <v>0</v>
      </c>
      <c r="AL24" s="114">
        <v>0</v>
      </c>
      <c r="AM24" s="114">
        <v>622904</v>
      </c>
      <c r="AN24" s="114">
        <v>1815601</v>
      </c>
      <c r="AO24" s="114">
        <v>0</v>
      </c>
      <c r="AP24" s="114">
        <v>300647</v>
      </c>
      <c r="AQ24" s="114">
        <v>1152236</v>
      </c>
      <c r="AR24" s="114">
        <v>1283186</v>
      </c>
      <c r="AS24" s="114">
        <v>1005472</v>
      </c>
      <c r="AT24" s="114">
        <v>0</v>
      </c>
      <c r="AU24" s="114">
        <v>498874</v>
      </c>
      <c r="AV24" s="114">
        <v>1806762</v>
      </c>
      <c r="AW24" s="114">
        <v>1825810</v>
      </c>
      <c r="AX24" s="114">
        <v>649934</v>
      </c>
      <c r="AY24" s="114">
        <v>0</v>
      </c>
      <c r="AZ24" s="114">
        <v>951614</v>
      </c>
      <c r="BA24" s="114">
        <v>1262658</v>
      </c>
      <c r="BB24" s="114">
        <v>540022</v>
      </c>
      <c r="BC24" s="114">
        <v>3127277</v>
      </c>
      <c r="BD24" s="114">
        <v>84815</v>
      </c>
      <c r="BE24" s="114">
        <v>871804</v>
      </c>
      <c r="BF24" s="114">
        <v>0</v>
      </c>
      <c r="BG24" s="114">
        <v>1971451</v>
      </c>
      <c r="BH24" s="114">
        <v>427203</v>
      </c>
      <c r="BI24" s="114">
        <v>903707</v>
      </c>
      <c r="BJ24" s="114">
        <v>322022</v>
      </c>
      <c r="BK24" s="114"/>
      <c r="BL24" s="114">
        <f t="shared" ref="BL24" si="4">BL15-BL22</f>
        <v>71947475</v>
      </c>
    </row>
    <row r="25" spans="1:64" x14ac:dyDescent="0.25">
      <c r="A25" s="113"/>
      <c r="B25" s="114"/>
      <c r="C25" s="19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row>
    <row r="26" spans="1:64" x14ac:dyDescent="0.25">
      <c r="A26" s="113">
        <v>2980</v>
      </c>
      <c r="B26" s="114"/>
      <c r="C26" s="194" t="s">
        <v>280</v>
      </c>
      <c r="D26" s="114"/>
      <c r="E26" s="135">
        <v>17458406</v>
      </c>
      <c r="F26" s="135">
        <v>5058503</v>
      </c>
      <c r="G26" s="135">
        <v>15971220</v>
      </c>
      <c r="H26" s="144">
        <v>0</v>
      </c>
      <c r="I26" s="135">
        <v>1415329</v>
      </c>
      <c r="J26" s="135">
        <v>17363307</v>
      </c>
      <c r="K26" s="135">
        <v>6648460</v>
      </c>
      <c r="L26" s="135">
        <v>21070013</v>
      </c>
      <c r="M26" s="135">
        <v>19171758</v>
      </c>
      <c r="N26" s="135">
        <v>6285197</v>
      </c>
      <c r="O26" s="135">
        <v>9546164</v>
      </c>
      <c r="P26" s="135">
        <v>13194124</v>
      </c>
      <c r="Q26" s="135">
        <v>95011098</v>
      </c>
      <c r="R26" s="135">
        <v>2436486</v>
      </c>
      <c r="S26" s="144">
        <v>0</v>
      </c>
      <c r="T26" s="135">
        <v>10612447</v>
      </c>
      <c r="U26" s="144">
        <v>0</v>
      </c>
      <c r="V26" s="135">
        <v>25883040</v>
      </c>
      <c r="W26" s="135">
        <v>14773885</v>
      </c>
      <c r="X26" s="135">
        <v>3273801</v>
      </c>
      <c r="Y26" s="144">
        <v>0</v>
      </c>
      <c r="Z26" s="135">
        <v>14529006</v>
      </c>
      <c r="AA26" s="135">
        <v>40342</v>
      </c>
      <c r="AB26" s="135">
        <v>17668887</v>
      </c>
      <c r="AC26" s="144">
        <v>0</v>
      </c>
      <c r="AD26" s="144">
        <v>0</v>
      </c>
      <c r="AE26" s="135">
        <v>3300102</v>
      </c>
      <c r="AF26" s="135">
        <v>2294263</v>
      </c>
      <c r="AG26" s="135">
        <v>13256212</v>
      </c>
      <c r="AH26" s="135">
        <v>12415520</v>
      </c>
      <c r="AI26" s="135">
        <v>412025</v>
      </c>
      <c r="AJ26" s="135">
        <v>7987728</v>
      </c>
      <c r="AK26" s="144">
        <v>0</v>
      </c>
      <c r="AL26" s="144">
        <v>0</v>
      </c>
      <c r="AM26" s="135">
        <v>4398829</v>
      </c>
      <c r="AN26" s="135">
        <v>10773910</v>
      </c>
      <c r="AO26" s="144">
        <v>0</v>
      </c>
      <c r="AP26" s="135">
        <v>2443568</v>
      </c>
      <c r="AQ26" s="135">
        <v>7826824</v>
      </c>
      <c r="AR26" s="135">
        <v>14367913</v>
      </c>
      <c r="AS26" s="135">
        <v>5553024</v>
      </c>
      <c r="AT26" s="144">
        <v>0</v>
      </c>
      <c r="AU26" s="135">
        <v>3943630</v>
      </c>
      <c r="AV26" s="135">
        <v>20742207</v>
      </c>
      <c r="AW26" s="135">
        <v>9299286</v>
      </c>
      <c r="AX26" s="135">
        <v>4644810</v>
      </c>
      <c r="AY26" s="144">
        <v>0</v>
      </c>
      <c r="AZ26" s="135">
        <v>8797161</v>
      </c>
      <c r="BA26" s="135">
        <v>7639625</v>
      </c>
      <c r="BB26" s="135">
        <v>4329491</v>
      </c>
      <c r="BC26" s="135">
        <v>15088456</v>
      </c>
      <c r="BD26" s="144">
        <v>416040</v>
      </c>
      <c r="BE26" s="135">
        <v>9670821</v>
      </c>
      <c r="BF26" s="144">
        <v>0</v>
      </c>
      <c r="BG26" s="135">
        <v>11097375</v>
      </c>
      <c r="BH26" s="135">
        <v>3992674</v>
      </c>
      <c r="BI26" s="135">
        <v>13259162</v>
      </c>
      <c r="BJ26" s="135">
        <v>6530855</v>
      </c>
      <c r="BK26" s="114"/>
      <c r="BL26" s="114">
        <f>SUM(E26:BK26)</f>
        <v>521892984</v>
      </c>
    </row>
    <row r="27" spans="1:64" x14ac:dyDescent="0.25">
      <c r="A27" s="113">
        <v>2990</v>
      </c>
      <c r="B27" s="114"/>
      <c r="C27" s="194" t="s">
        <v>122</v>
      </c>
      <c r="D27" s="114"/>
      <c r="E27" s="135">
        <v>0</v>
      </c>
      <c r="F27" s="135">
        <v>0</v>
      </c>
      <c r="G27" s="135">
        <v>0</v>
      </c>
      <c r="H27" s="144">
        <v>0</v>
      </c>
      <c r="I27" s="135">
        <v>0</v>
      </c>
      <c r="J27" s="135">
        <v>0</v>
      </c>
      <c r="K27" s="135">
        <v>1767</v>
      </c>
      <c r="L27" s="135">
        <v>0</v>
      </c>
      <c r="M27" s="135">
        <v>0</v>
      </c>
      <c r="N27" s="135">
        <v>509581</v>
      </c>
      <c r="O27" s="135">
        <v>0</v>
      </c>
      <c r="P27" s="135">
        <v>-177664</v>
      </c>
      <c r="Q27" s="135">
        <v>-4503</v>
      </c>
      <c r="R27" s="135">
        <v>0</v>
      </c>
      <c r="S27" s="144">
        <v>0</v>
      </c>
      <c r="T27" s="135">
        <v>0</v>
      </c>
      <c r="U27" s="144">
        <v>0</v>
      </c>
      <c r="V27" s="135">
        <v>0</v>
      </c>
      <c r="W27" s="135">
        <v>-1881.35</v>
      </c>
      <c r="X27" s="135">
        <v>-12997</v>
      </c>
      <c r="Y27" s="144">
        <v>0</v>
      </c>
      <c r="Z27" s="135">
        <v>-32050</v>
      </c>
      <c r="AA27" s="135">
        <v>0</v>
      </c>
      <c r="AB27" s="135">
        <v>0</v>
      </c>
      <c r="AC27" s="144">
        <v>0</v>
      </c>
      <c r="AD27" s="144">
        <v>0</v>
      </c>
      <c r="AE27" s="135">
        <v>0</v>
      </c>
      <c r="AF27" s="135">
        <v>0</v>
      </c>
      <c r="AG27" s="135">
        <v>0</v>
      </c>
      <c r="AH27" s="135">
        <v>0</v>
      </c>
      <c r="AI27" s="135">
        <v>0</v>
      </c>
      <c r="AJ27" s="135">
        <v>1145930</v>
      </c>
      <c r="AK27" s="144">
        <v>0</v>
      </c>
      <c r="AL27" s="144">
        <v>0</v>
      </c>
      <c r="AM27" s="135">
        <v>0</v>
      </c>
      <c r="AN27" s="135">
        <v>0</v>
      </c>
      <c r="AO27" s="144">
        <v>0</v>
      </c>
      <c r="AP27" s="135">
        <v>-362797</v>
      </c>
      <c r="AQ27" s="135">
        <v>-83707</v>
      </c>
      <c r="AR27" s="135">
        <v>36634</v>
      </c>
      <c r="AS27" s="135">
        <v>0</v>
      </c>
      <c r="AT27" s="144">
        <v>0</v>
      </c>
      <c r="AU27" s="135">
        <v>0</v>
      </c>
      <c r="AV27" s="135">
        <v>0</v>
      </c>
      <c r="AW27" s="135">
        <v>0</v>
      </c>
      <c r="AX27" s="135">
        <v>0</v>
      </c>
      <c r="AY27" s="144">
        <v>0</v>
      </c>
      <c r="AZ27" s="135">
        <v>0</v>
      </c>
      <c r="BA27" s="135">
        <v>0</v>
      </c>
      <c r="BB27" s="135">
        <v>0</v>
      </c>
      <c r="BC27" s="135">
        <v>0</v>
      </c>
      <c r="BD27" s="144">
        <v>0</v>
      </c>
      <c r="BE27" s="135">
        <v>0</v>
      </c>
      <c r="BF27" s="144">
        <v>0</v>
      </c>
      <c r="BG27" s="135">
        <v>0</v>
      </c>
      <c r="BH27" s="135">
        <v>0</v>
      </c>
      <c r="BI27" s="135">
        <v>803</v>
      </c>
      <c r="BJ27" s="135">
        <v>0</v>
      </c>
      <c r="BK27" s="114"/>
      <c r="BL27" s="114">
        <f>SUM(E27:BK27)</f>
        <v>1019115.6499999999</v>
      </c>
    </row>
    <row r="28" spans="1:64" ht="13.8" thickBot="1" x14ac:dyDescent="0.3">
      <c r="A28" s="113">
        <v>3000</v>
      </c>
      <c r="B28" s="114"/>
      <c r="C28" s="194" t="s">
        <v>281</v>
      </c>
      <c r="D28" s="114"/>
      <c r="E28" s="129">
        <f>SUM(E24:E27)</f>
        <v>17441132</v>
      </c>
      <c r="F28" s="129">
        <f t="shared" ref="F28:BJ28" si="5">SUM(F24:F27)</f>
        <v>4924755</v>
      </c>
      <c r="G28" s="129">
        <f t="shared" si="5"/>
        <v>16894404</v>
      </c>
      <c r="H28" s="129">
        <f t="shared" si="5"/>
        <v>0</v>
      </c>
      <c r="I28" s="129">
        <f>SUM(I24:I27)</f>
        <v>1645971</v>
      </c>
      <c r="J28" s="129">
        <f t="shared" si="5"/>
        <v>18220446</v>
      </c>
      <c r="K28" s="129">
        <f t="shared" si="5"/>
        <v>7872655</v>
      </c>
      <c r="L28" s="129">
        <f t="shared" si="5"/>
        <v>28913960</v>
      </c>
      <c r="M28" s="129">
        <f t="shared" si="5"/>
        <v>29127627</v>
      </c>
      <c r="N28" s="129">
        <f>SUM(N24:N27)</f>
        <v>7746589</v>
      </c>
      <c r="O28" s="129">
        <f t="shared" si="5"/>
        <v>10327022</v>
      </c>
      <c r="P28" s="129">
        <f t="shared" si="5"/>
        <v>14635680</v>
      </c>
      <c r="Q28" s="129">
        <f t="shared" si="5"/>
        <v>98194739</v>
      </c>
      <c r="R28" s="129">
        <f t="shared" si="5"/>
        <v>3535425</v>
      </c>
      <c r="S28" s="129">
        <f t="shared" si="5"/>
        <v>0</v>
      </c>
      <c r="T28" s="129">
        <f t="shared" si="5"/>
        <v>11370359</v>
      </c>
      <c r="U28" s="129">
        <f t="shared" si="5"/>
        <v>0</v>
      </c>
      <c r="V28" s="129">
        <f>SUM(V24:V27)</f>
        <v>29314785</v>
      </c>
      <c r="W28" s="129">
        <f>SUM(W24:W27)</f>
        <v>21086177.649999999</v>
      </c>
      <c r="X28" s="129">
        <f t="shared" si="5"/>
        <v>3938370</v>
      </c>
      <c r="Y28" s="129">
        <f t="shared" si="5"/>
        <v>0</v>
      </c>
      <c r="Z28" s="129">
        <f t="shared" si="5"/>
        <v>15602058</v>
      </c>
      <c r="AA28" s="129">
        <f>SUM(AA24:AA27)+1</f>
        <v>24940</v>
      </c>
      <c r="AB28" s="129">
        <f t="shared" si="5"/>
        <v>19563124</v>
      </c>
      <c r="AC28" s="129">
        <f t="shared" si="5"/>
        <v>0</v>
      </c>
      <c r="AD28" s="129">
        <f t="shared" si="5"/>
        <v>0</v>
      </c>
      <c r="AE28" s="129">
        <f>SUM(AE24:AE27)</f>
        <v>3965723</v>
      </c>
      <c r="AF28" s="129">
        <f t="shared" si="5"/>
        <v>2693895</v>
      </c>
      <c r="AG28" s="129">
        <f t="shared" si="5"/>
        <v>14490899</v>
      </c>
      <c r="AH28" s="129">
        <f t="shared" si="5"/>
        <v>13948841</v>
      </c>
      <c r="AI28" s="129">
        <f>SUM(AI24:AI27)</f>
        <v>465430</v>
      </c>
      <c r="AJ28" s="129">
        <f t="shared" si="5"/>
        <v>13083976</v>
      </c>
      <c r="AK28" s="129">
        <f t="shared" si="5"/>
        <v>0</v>
      </c>
      <c r="AL28" s="129">
        <f t="shared" si="5"/>
        <v>0</v>
      </c>
      <c r="AM28" s="129">
        <f t="shared" si="5"/>
        <v>5021733</v>
      </c>
      <c r="AN28" s="129">
        <f t="shared" si="5"/>
        <v>12589511</v>
      </c>
      <c r="AO28" s="129">
        <f t="shared" si="5"/>
        <v>0</v>
      </c>
      <c r="AP28" s="129">
        <f t="shared" si="5"/>
        <v>2381418</v>
      </c>
      <c r="AQ28" s="129">
        <f t="shared" si="5"/>
        <v>8895353</v>
      </c>
      <c r="AR28" s="129">
        <f t="shared" si="5"/>
        <v>15687733</v>
      </c>
      <c r="AS28" s="129">
        <f t="shared" si="5"/>
        <v>6558496</v>
      </c>
      <c r="AT28" s="129">
        <f t="shared" si="5"/>
        <v>0</v>
      </c>
      <c r="AU28" s="129">
        <f>SUM(AU24:AU27)-0.74</f>
        <v>4442503.26</v>
      </c>
      <c r="AV28" s="129">
        <f t="shared" si="5"/>
        <v>22548969</v>
      </c>
      <c r="AW28" s="129">
        <f t="shared" si="5"/>
        <v>11125096</v>
      </c>
      <c r="AX28" s="129">
        <f t="shared" si="5"/>
        <v>5294744</v>
      </c>
      <c r="AY28" s="129">
        <f t="shared" si="5"/>
        <v>0</v>
      </c>
      <c r="AZ28" s="129">
        <f t="shared" si="5"/>
        <v>9748775</v>
      </c>
      <c r="BA28" s="129">
        <f t="shared" si="5"/>
        <v>8902283</v>
      </c>
      <c r="BB28" s="129">
        <f t="shared" si="5"/>
        <v>4869513</v>
      </c>
      <c r="BC28" s="129">
        <f t="shared" si="5"/>
        <v>18215733</v>
      </c>
      <c r="BD28" s="129">
        <f>SUM(BD24:BD27)</f>
        <v>500855</v>
      </c>
      <c r="BE28" s="129">
        <f t="shared" si="5"/>
        <v>10542625</v>
      </c>
      <c r="BF28" s="129">
        <f t="shared" si="5"/>
        <v>0</v>
      </c>
      <c r="BG28" s="129">
        <f t="shared" si="5"/>
        <v>13068826</v>
      </c>
      <c r="BH28" s="129">
        <f t="shared" si="5"/>
        <v>4419877</v>
      </c>
      <c r="BI28" s="129">
        <f t="shared" si="5"/>
        <v>14163672</v>
      </c>
      <c r="BJ28" s="129">
        <f t="shared" si="5"/>
        <v>6852877</v>
      </c>
      <c r="BK28" s="121"/>
      <c r="BL28" s="123">
        <f>SUM(BL24:BL27)</f>
        <v>594859574.64999998</v>
      </c>
    </row>
    <row r="29" spans="1:64" ht="13.8" thickTop="1" x14ac:dyDescent="0.25">
      <c r="A29" s="113"/>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row>
    <row r="30" spans="1:64" x14ac:dyDescent="0.25">
      <c r="A30" s="113"/>
      <c r="B30" s="114"/>
      <c r="C30" s="114"/>
      <c r="D30" s="114"/>
      <c r="E30" s="122" t="str">
        <f>IF(E28=PriorYrExhD!E40,"OK","out of bal")</f>
        <v>OK</v>
      </c>
      <c r="F30" s="122" t="str">
        <f>IF(F28=PriorYrExhD!F40,"OK","out of bal")</f>
        <v>OK</v>
      </c>
      <c r="G30" s="122" t="str">
        <f>IF(G28=PriorYrExhD!G40,"OK","out of bal")</f>
        <v>OK</v>
      </c>
      <c r="H30" s="122" t="str">
        <f>IF(H28=PriorYrExhD!H40,"OK","out of bal")</f>
        <v>OK</v>
      </c>
      <c r="I30" s="122" t="str">
        <f>IF(I28=PriorYrExhD!I40,"OK","out of bal")</f>
        <v>OK</v>
      </c>
      <c r="J30" s="122" t="str">
        <f>IF(J28=PriorYrExhD!J40,"OK","out of bal")</f>
        <v>OK</v>
      </c>
      <c r="K30" s="122" t="str">
        <f>IF(K28=PriorYrExhD!K40,"OK","out of bal")</f>
        <v>OK</v>
      </c>
      <c r="L30" s="122" t="str">
        <f>IF(L28=PriorYrExhD!L40,"OK","out of bal")</f>
        <v>OK</v>
      </c>
      <c r="M30" s="122" t="str">
        <f>IF(M28=PriorYrExhD!M40,"OK","out of bal")</f>
        <v>OK</v>
      </c>
      <c r="N30" s="122" t="str">
        <f>IF(N28=PriorYrExhD!N40,"OK","out of bal")</f>
        <v>OK</v>
      </c>
      <c r="O30" s="122" t="str">
        <f>IF(O28=PriorYrExhD!O40,"OK","out of bal")</f>
        <v>OK</v>
      </c>
      <c r="P30" s="122" t="str">
        <f>IF(P28=PriorYrExhD!P40,"OK","out of bal")</f>
        <v>OK</v>
      </c>
      <c r="Q30" s="122" t="str">
        <f>IF(Q28=PriorYrExhD!Q40,"OK","out of bal")</f>
        <v>OK</v>
      </c>
      <c r="R30" s="122" t="str">
        <f>IF(R28=PriorYrExhD!R40,"OK","out of bal")</f>
        <v>OK</v>
      </c>
      <c r="S30" s="122" t="str">
        <f>IF(S28=PriorYrExhD!S40,"OK","out of bal")</f>
        <v>OK</v>
      </c>
      <c r="T30" s="122" t="str">
        <f>IF(T28=PriorYrExhD!T40,"OK","out of bal")</f>
        <v>OK</v>
      </c>
      <c r="U30" s="122" t="str">
        <f>IF(U28=PriorYrExhD!U40,"OK","out of bal")</f>
        <v>OK</v>
      </c>
      <c r="V30" s="122" t="str">
        <f>IF(V28=PriorYrExhD!V40,"OK","out of bal")</f>
        <v>OK</v>
      </c>
      <c r="W30" s="122" t="str">
        <f>IF(W28=PriorYrExhD!W40,"OK","out of bal")</f>
        <v>OK</v>
      </c>
      <c r="X30" s="122" t="str">
        <f>IF(X28=PriorYrExhD!X40,"OK","out of bal")</f>
        <v>OK</v>
      </c>
      <c r="Y30" s="122" t="str">
        <f>IF(Y28=PriorYrExhD!Y40,"OK","out of bal")</f>
        <v>OK</v>
      </c>
      <c r="Z30" s="122" t="str">
        <f>IF(Z28=PriorYrExhD!Z40,"OK","out of bal")</f>
        <v>OK</v>
      </c>
      <c r="AA30" s="122" t="str">
        <f>IF(AA28=PriorYrExhD!AA40,"OK","out of bal")</f>
        <v>OK</v>
      </c>
      <c r="AB30" s="122" t="str">
        <f>IF(AB28=PriorYrExhD!AB40,"OK","out of bal")</f>
        <v>OK</v>
      </c>
      <c r="AC30" s="122" t="str">
        <f>IF(AC28=PriorYrExhD!AC40,"OK","out of bal")</f>
        <v>OK</v>
      </c>
      <c r="AD30" s="122" t="str">
        <f>IF(AD28=PriorYrExhD!AD40,"OK","out of bal")</f>
        <v>OK</v>
      </c>
      <c r="AE30" s="122" t="str">
        <f>IF(AE28=PriorYrExhD!AE40,"OK","out of bal")</f>
        <v>OK</v>
      </c>
      <c r="AF30" s="122" t="str">
        <f>IF(AF28=PriorYrExhD!AF40,"OK","out of bal")</f>
        <v>OK</v>
      </c>
      <c r="AG30" s="122" t="str">
        <f>IF(AG28=PriorYrExhD!AG40,"OK","out of bal")</f>
        <v>OK</v>
      </c>
      <c r="AH30" s="122" t="str">
        <f>IF(AH28=PriorYrExhD!AH40,"OK","out of bal")</f>
        <v>OK</v>
      </c>
      <c r="AI30" s="122" t="str">
        <f>IF(AI28=PriorYrExhD!AI40,"OK","out of bal")</f>
        <v>OK</v>
      </c>
      <c r="AJ30" s="122" t="str">
        <f>IF(AJ28=PriorYrExhD!AJ40,"OK","out of bal")</f>
        <v>OK</v>
      </c>
      <c r="AK30" s="122" t="str">
        <f>IF(AK28=PriorYrExhD!AK40,"OK","out of bal")</f>
        <v>OK</v>
      </c>
      <c r="AL30" s="122" t="str">
        <f>IF(AL28=PriorYrExhD!AL40,"OK","out of bal")</f>
        <v>OK</v>
      </c>
      <c r="AM30" s="122" t="str">
        <f>IF(AM28=PriorYrExhD!AM40,"OK","out of bal")</f>
        <v>OK</v>
      </c>
      <c r="AN30" s="122" t="str">
        <f>IF(AN28=PriorYrExhD!AN40,"OK","out of bal")</f>
        <v>OK</v>
      </c>
      <c r="AO30" s="122" t="str">
        <f>IF(AO28=PriorYrExhD!AO40,"OK","out of bal")</f>
        <v>OK</v>
      </c>
      <c r="AP30" s="122" t="str">
        <f>IF(AP28=PriorYrExhD!AP40,"OK","out of bal")</f>
        <v>OK</v>
      </c>
      <c r="AQ30" s="122" t="str">
        <f>IF(AQ28=PriorYrExhD!AQ40,"OK","out of bal")</f>
        <v>OK</v>
      </c>
      <c r="AR30" s="122" t="str">
        <f>IF(AR28=PriorYrExhD!AR40,"OK","out of bal")</f>
        <v>OK</v>
      </c>
      <c r="AS30" s="122" t="str">
        <f>IF(AS28=PriorYrExhD!AS40,"OK","out of bal")</f>
        <v>OK</v>
      </c>
      <c r="AT30" s="122" t="str">
        <f>IF(AT28=PriorYrExhD!AT40,"OK","out of bal")</f>
        <v>OK</v>
      </c>
      <c r="AU30" s="122" t="str">
        <f>IF(AU28=PriorYrExhD!AU40,"OK","out of bal")</f>
        <v>OK</v>
      </c>
      <c r="AV30" s="122" t="str">
        <f>IF(AV28=PriorYrExhD!AV40,"OK","out of bal")</f>
        <v>OK</v>
      </c>
      <c r="AW30" s="122" t="str">
        <f>IF(AW28=PriorYrExhD!AW40,"OK","out of bal")</f>
        <v>OK</v>
      </c>
      <c r="AX30" s="122" t="str">
        <f>IF(AX28=PriorYrExhD!AX40,"OK","out of bal")</f>
        <v>OK</v>
      </c>
      <c r="AY30" s="122" t="str">
        <f>IF(AY28=PriorYrExhD!AY40,"OK","out of bal")</f>
        <v>OK</v>
      </c>
      <c r="AZ30" s="122" t="str">
        <f>IF(AZ28=PriorYrExhD!AZ40,"OK","out of bal")</f>
        <v>OK</v>
      </c>
      <c r="BA30" s="122" t="str">
        <f>IF(BA28=PriorYrExhD!BA40,"OK","out of bal")</f>
        <v>OK</v>
      </c>
      <c r="BB30" s="122" t="str">
        <f>IF(BB28=PriorYrExhD!BB40,"OK","out of bal")</f>
        <v>OK</v>
      </c>
      <c r="BC30" s="122" t="str">
        <f>IF(BC28=PriorYrExhD!BC40,"OK","out of bal")</f>
        <v>OK</v>
      </c>
      <c r="BD30" s="122" t="str">
        <f>IF(BD28=PriorYrExhD!BD40,"OK","out of bal")</f>
        <v>OK</v>
      </c>
      <c r="BE30" s="122" t="str">
        <f>IF(BE28=PriorYrExhD!BE40,"OK","out of bal")</f>
        <v>OK</v>
      </c>
      <c r="BF30" s="122" t="str">
        <f>IF(BF28=PriorYrExhD!BF40,"OK","out of bal")</f>
        <v>OK</v>
      </c>
      <c r="BG30" s="122" t="str">
        <f>IF(BG28=PriorYrExhD!BG40,"OK","out of bal")</f>
        <v>OK</v>
      </c>
      <c r="BH30" s="122" t="str">
        <f>IF(BH28=PriorYrExhD!BH40,"OK","out of bal")</f>
        <v>OK</v>
      </c>
      <c r="BI30" s="122" t="str">
        <f>IF(BI28=PriorYrExhD!BI40,"OK","out of bal")</f>
        <v>OK</v>
      </c>
      <c r="BJ30" s="122" t="str">
        <f>IF(BJ28=PriorYrExhD!BJ40,"OK","out of bal")</f>
        <v>OK</v>
      </c>
      <c r="BK30" s="122"/>
      <c r="BL30" s="122" t="str">
        <f>IF(BL28=PriorYrExhD!BL40,"OK","out of bal")</f>
        <v>out of bal</v>
      </c>
    </row>
    <row r="32" spans="1:64" x14ac:dyDescent="0.25">
      <c r="C32" s="171" t="s">
        <v>601</v>
      </c>
    </row>
    <row r="33" spans="3:3" x14ac:dyDescent="0.25">
      <c r="C33" s="171" t="s">
        <v>602</v>
      </c>
    </row>
    <row r="34" spans="3:3" x14ac:dyDescent="0.25">
      <c r="C34" s="171" t="s">
        <v>615</v>
      </c>
    </row>
    <row r="35" spans="3:3" x14ac:dyDescent="0.25">
      <c r="C35" s="171" t="s">
        <v>604</v>
      </c>
    </row>
    <row r="36" spans="3:3" x14ac:dyDescent="0.25">
      <c r="C36" s="171" t="s">
        <v>605</v>
      </c>
    </row>
    <row r="38" spans="3:3" x14ac:dyDescent="0.25">
      <c r="C38" s="150" t="s">
        <v>616</v>
      </c>
    </row>
  </sheetData>
  <sheetProtection algorithmName="SHA-512" hashValue="Fx4/EzOiYPTlN44OwOlR5NJxgDEdsn//ty+zehL+ATfIDiY44jlt06CI/O6gu1+4MUlHcsgQQzslFZoR6l+1OA==" saltValue="KVX2yy9AIi9unn759BcZbg==" spinCount="100000" sheet="1" autoFilter="0"/>
  <pageMargins left="0.2" right="0.2" top="0.5" bottom="0.5" header="0.3" footer="0.3"/>
  <pageSetup orientation="landscape" r:id="rId1"/>
  <ignoredErrors>
    <ignoredError sqref="W15" formulaRange="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6AE0C-0C04-46C1-B327-9941725A32F5}">
  <sheetPr codeName="Sheet13"/>
  <dimension ref="A1:G93"/>
  <sheetViews>
    <sheetView topLeftCell="A16" workbookViewId="0">
      <selection activeCell="J24" sqref="J24"/>
    </sheetView>
  </sheetViews>
  <sheetFormatPr defaultRowHeight="13.2" x14ac:dyDescent="0.25"/>
  <cols>
    <col min="4" max="4" width="56.5546875" customWidth="1"/>
    <col min="5" max="5" width="51.6640625" customWidth="1"/>
    <col min="6" max="6" width="32" bestFit="1" customWidth="1"/>
    <col min="7" max="7" width="17.33203125" customWidth="1"/>
    <col min="10" max="10" width="35.6640625" bestFit="1" customWidth="1"/>
  </cols>
  <sheetData>
    <row r="1" spans="1:7" ht="22.8" x14ac:dyDescent="0.4">
      <c r="A1" s="222" t="s">
        <v>617</v>
      </c>
    </row>
    <row r="2" spans="1:7" x14ac:dyDescent="0.25">
      <c r="E2" s="235" t="s">
        <v>618</v>
      </c>
      <c r="F2" s="235" t="s">
        <v>619</v>
      </c>
      <c r="G2" s="235" t="s">
        <v>620</v>
      </c>
    </row>
    <row r="3" spans="1:7" x14ac:dyDescent="0.25">
      <c r="D3" s="131" t="s">
        <v>47</v>
      </c>
      <c r="E3" t="s">
        <v>316</v>
      </c>
      <c r="F3" t="s">
        <v>617</v>
      </c>
      <c r="G3" s="171" t="s">
        <v>621</v>
      </c>
    </row>
    <row r="4" spans="1:7" x14ac:dyDescent="0.25">
      <c r="C4" s="32">
        <v>100</v>
      </c>
      <c r="D4" s="31" t="s">
        <v>48</v>
      </c>
      <c r="E4" t="str">
        <f>+C4&amp;" "&amp;D4</f>
        <v>100 Cash and cash equivalents</v>
      </c>
      <c r="F4" t="s">
        <v>622</v>
      </c>
      <c r="G4" s="162">
        <v>11111000</v>
      </c>
    </row>
    <row r="5" spans="1:7" ht="15.6" x14ac:dyDescent="0.3">
      <c r="C5" s="32">
        <v>105</v>
      </c>
      <c r="D5" s="31" t="s">
        <v>51</v>
      </c>
      <c r="E5" t="str">
        <f t="shared" ref="E5:E24" si="0">+C5&amp;" "&amp;D5</f>
        <v>105 Investment in joint venture</v>
      </c>
      <c r="F5" s="223" t="s">
        <v>623</v>
      </c>
      <c r="G5" s="162">
        <v>11210100</v>
      </c>
    </row>
    <row r="6" spans="1:7" ht="15.6" x14ac:dyDescent="0.3">
      <c r="C6" s="32">
        <v>105</v>
      </c>
      <c r="D6" s="31" t="s">
        <v>52</v>
      </c>
      <c r="E6" t="str">
        <f t="shared" si="0"/>
        <v>105 Cash surrender value of life insurance</v>
      </c>
      <c r="F6" s="223" t="s">
        <v>623</v>
      </c>
      <c r="G6" s="162">
        <v>11210100</v>
      </c>
    </row>
    <row r="7" spans="1:7" ht="15.6" x14ac:dyDescent="0.3">
      <c r="C7" s="32">
        <v>105</v>
      </c>
      <c r="D7" s="31" t="s">
        <v>53</v>
      </c>
      <c r="E7" t="str">
        <f t="shared" si="0"/>
        <v>105 Assets held in charitable trusts and annuities</v>
      </c>
      <c r="F7" s="223" t="s">
        <v>623</v>
      </c>
      <c r="G7" s="162">
        <v>11210100</v>
      </c>
    </row>
    <row r="8" spans="1:7" ht="15.6" x14ac:dyDescent="0.3">
      <c r="C8" s="32">
        <v>105</v>
      </c>
      <c r="D8" s="31" t="s">
        <v>54</v>
      </c>
      <c r="E8" t="str">
        <f t="shared" si="0"/>
        <v>105 Security deposits</v>
      </c>
      <c r="F8" s="223" t="s">
        <v>623</v>
      </c>
      <c r="G8" s="162">
        <v>11210100</v>
      </c>
    </row>
    <row r="9" spans="1:7" ht="15.6" x14ac:dyDescent="0.3">
      <c r="C9" s="32">
        <v>105</v>
      </c>
      <c r="D9" s="31" t="s">
        <v>55</v>
      </c>
      <c r="E9" t="str">
        <f t="shared" si="0"/>
        <v>105 Assets held by trustee</v>
      </c>
      <c r="F9" s="223" t="s">
        <v>623</v>
      </c>
      <c r="G9" s="162">
        <v>11210100</v>
      </c>
    </row>
    <row r="10" spans="1:7" ht="15.6" x14ac:dyDescent="0.3">
      <c r="C10" s="32">
        <v>105</v>
      </c>
      <c r="D10" s="31" t="s">
        <v>56</v>
      </c>
      <c r="E10" t="str">
        <f t="shared" si="0"/>
        <v>105 Real estate held for resale</v>
      </c>
      <c r="F10" s="223" t="s">
        <v>623</v>
      </c>
      <c r="G10" s="162">
        <v>11210100</v>
      </c>
    </row>
    <row r="11" spans="1:7" ht="15.6" x14ac:dyDescent="0.3">
      <c r="C11" s="32">
        <v>105</v>
      </c>
      <c r="D11" s="31" t="s">
        <v>64</v>
      </c>
      <c r="E11" t="str">
        <f t="shared" si="0"/>
        <v>105 In-kind gifts</v>
      </c>
      <c r="F11" s="223" t="s">
        <v>623</v>
      </c>
      <c r="G11" s="162">
        <v>11210100</v>
      </c>
    </row>
    <row r="12" spans="1:7" ht="15.6" x14ac:dyDescent="0.3">
      <c r="C12" s="32">
        <v>105</v>
      </c>
      <c r="D12" s="31" t="s">
        <v>138</v>
      </c>
      <c r="E12" t="str">
        <f t="shared" si="0"/>
        <v>105 Other Investments</v>
      </c>
      <c r="F12" s="223" t="s">
        <v>623</v>
      </c>
      <c r="G12" s="162">
        <v>11210100</v>
      </c>
    </row>
    <row r="13" spans="1:7" ht="15.6" x14ac:dyDescent="0.3">
      <c r="C13" s="32">
        <v>110</v>
      </c>
      <c r="D13" s="31" t="s">
        <v>57</v>
      </c>
      <c r="E13" t="str">
        <f t="shared" si="0"/>
        <v>110 Receivables, net</v>
      </c>
      <c r="F13" s="223" t="s">
        <v>624</v>
      </c>
      <c r="G13" s="162">
        <v>11320000</v>
      </c>
    </row>
    <row r="14" spans="1:7" ht="15.6" x14ac:dyDescent="0.3">
      <c r="C14" s="32">
        <v>110</v>
      </c>
      <c r="D14" s="31" t="s">
        <v>58</v>
      </c>
      <c r="E14" t="str">
        <f t="shared" si="0"/>
        <v>110 Promises to give</v>
      </c>
      <c r="F14" s="223" t="s">
        <v>624</v>
      </c>
      <c r="G14" s="162">
        <v>11320000</v>
      </c>
    </row>
    <row r="15" spans="1:7" ht="15.6" x14ac:dyDescent="0.3">
      <c r="C15" s="32">
        <v>115</v>
      </c>
      <c r="D15" s="31" t="s">
        <v>59</v>
      </c>
      <c r="E15" t="str">
        <f t="shared" si="0"/>
        <v>115 Inventories</v>
      </c>
      <c r="F15" s="223" t="s">
        <v>625</v>
      </c>
      <c r="G15" s="162">
        <v>11611000</v>
      </c>
    </row>
    <row r="16" spans="1:7" ht="15.6" x14ac:dyDescent="0.3">
      <c r="C16" s="32">
        <v>120</v>
      </c>
      <c r="D16" s="31" t="s">
        <v>60</v>
      </c>
      <c r="E16" t="str">
        <f t="shared" si="0"/>
        <v>120 Prepaid expenses</v>
      </c>
      <c r="F16" s="223" t="s">
        <v>626</v>
      </c>
      <c r="G16" s="162">
        <v>11910000</v>
      </c>
    </row>
    <row r="17" spans="3:7" ht="15.6" x14ac:dyDescent="0.3">
      <c r="C17" s="32">
        <v>120</v>
      </c>
      <c r="D17" s="31" t="s">
        <v>63</v>
      </c>
      <c r="E17" t="str">
        <f t="shared" si="0"/>
        <v>120 Deferred charges</v>
      </c>
      <c r="F17" s="223" t="s">
        <v>626</v>
      </c>
      <c r="G17" s="162">
        <v>11910000</v>
      </c>
    </row>
    <row r="18" spans="3:7" ht="15.6" x14ac:dyDescent="0.3">
      <c r="C18" s="32">
        <v>125</v>
      </c>
      <c r="D18" s="31" t="s">
        <v>61</v>
      </c>
      <c r="E18" t="str">
        <f t="shared" si="0"/>
        <v>125 Notes/loans receivable, net</v>
      </c>
      <c r="F18" s="223" t="s">
        <v>627</v>
      </c>
      <c r="G18" s="162">
        <v>11510000</v>
      </c>
    </row>
    <row r="19" spans="3:7" ht="15.6" x14ac:dyDescent="0.3">
      <c r="C19" s="32">
        <v>126</v>
      </c>
      <c r="D19" s="31" t="s">
        <v>62</v>
      </c>
      <c r="E19" t="str">
        <f t="shared" si="0"/>
        <v>126 Lease receivable, net</v>
      </c>
      <c r="F19" s="223" t="s">
        <v>628</v>
      </c>
      <c r="G19" s="162" t="s">
        <v>629</v>
      </c>
    </row>
    <row r="20" spans="3:7" x14ac:dyDescent="0.25">
      <c r="C20" s="32">
        <v>130</v>
      </c>
      <c r="D20" s="31" t="s">
        <v>137</v>
      </c>
      <c r="E20" t="str">
        <f t="shared" si="0"/>
        <v>130 Restricted/endowment investments</v>
      </c>
      <c r="F20" s="171" t="s">
        <v>630</v>
      </c>
      <c r="G20" s="162">
        <v>11212500</v>
      </c>
    </row>
    <row r="21" spans="3:7" ht="15.6" x14ac:dyDescent="0.3">
      <c r="C21" s="32">
        <v>140</v>
      </c>
      <c r="D21" s="31" t="s">
        <v>141</v>
      </c>
      <c r="E21" t="str">
        <f t="shared" si="0"/>
        <v>140 Unrestricted property/equipment, nondepreciable</v>
      </c>
      <c r="F21" s="236" t="s">
        <v>631</v>
      </c>
      <c r="G21" s="162" t="s">
        <v>287</v>
      </c>
    </row>
    <row r="22" spans="3:7" ht="15.6" x14ac:dyDescent="0.3">
      <c r="C22" s="32">
        <v>145</v>
      </c>
      <c r="D22" s="31" t="s">
        <v>142</v>
      </c>
      <c r="E22" t="str">
        <f t="shared" si="0"/>
        <v>145 Unrestricted property/equipment, depreciable, net</v>
      </c>
      <c r="F22" s="236" t="s">
        <v>632</v>
      </c>
      <c r="G22" s="162"/>
    </row>
    <row r="23" spans="3:7" ht="15.6" x14ac:dyDescent="0.3">
      <c r="C23" s="32">
        <v>140</v>
      </c>
      <c r="D23" s="31" t="s">
        <v>143</v>
      </c>
      <c r="E23" t="str">
        <f t="shared" si="0"/>
        <v>140 Restricted property/equipment, nondepreciable</v>
      </c>
      <c r="F23" s="236" t="s">
        <v>631</v>
      </c>
    </row>
    <row r="24" spans="3:7" ht="15.6" x14ac:dyDescent="0.3">
      <c r="C24" s="32">
        <v>145</v>
      </c>
      <c r="D24" s="31" t="s">
        <v>144</v>
      </c>
      <c r="E24" t="str">
        <f t="shared" si="0"/>
        <v>145 Restricted property/equipment, depreciable, net</v>
      </c>
      <c r="F24" s="236" t="s">
        <v>632</v>
      </c>
    </row>
    <row r="27" spans="3:7" x14ac:dyDescent="0.25">
      <c r="D27" s="131" t="s">
        <v>317</v>
      </c>
      <c r="E27" t="s">
        <v>316</v>
      </c>
      <c r="F27" s="171" t="s">
        <v>617</v>
      </c>
    </row>
    <row r="28" spans="3:7" x14ac:dyDescent="0.25">
      <c r="C28" s="32">
        <v>200</v>
      </c>
      <c r="D28" s="31" t="s">
        <v>68</v>
      </c>
      <c r="E28" t="str">
        <f t="shared" ref="E28:E49" si="1">+C28&amp;" "&amp;D28</f>
        <v>200 Accounts payable and accrued expenses</v>
      </c>
      <c r="F28" t="s">
        <v>633</v>
      </c>
      <c r="G28" s="162">
        <v>21110000</v>
      </c>
    </row>
    <row r="29" spans="3:7" x14ac:dyDescent="0.25">
      <c r="C29" s="32">
        <v>200</v>
      </c>
      <c r="D29" s="31" t="s">
        <v>75</v>
      </c>
      <c r="E29" t="str">
        <f t="shared" si="1"/>
        <v>200 Interest rate swap fair value liability</v>
      </c>
      <c r="F29" t="s">
        <v>634</v>
      </c>
    </row>
    <row r="30" spans="3:7" x14ac:dyDescent="0.25">
      <c r="C30" s="32">
        <v>202</v>
      </c>
      <c r="D30" s="31" t="s">
        <v>635</v>
      </c>
      <c r="E30" t="str">
        <f t="shared" si="1"/>
        <v xml:space="preserve">202 Due to the College </v>
      </c>
      <c r="F30" s="171" t="s">
        <v>636</v>
      </c>
      <c r="G30" s="162">
        <v>21270000</v>
      </c>
    </row>
    <row r="31" spans="3:7" x14ac:dyDescent="0.25">
      <c r="C31" s="32">
        <v>203</v>
      </c>
      <c r="D31" s="31" t="s">
        <v>637</v>
      </c>
      <c r="E31" t="str">
        <f t="shared" si="1"/>
        <v xml:space="preserve">203 Grants payable to the College </v>
      </c>
      <c r="F31" s="171" t="s">
        <v>638</v>
      </c>
      <c r="G31" s="162" t="s">
        <v>234</v>
      </c>
    </row>
    <row r="32" spans="3:7" x14ac:dyDescent="0.25">
      <c r="C32" s="32">
        <v>205</v>
      </c>
      <c r="D32" s="31" t="s">
        <v>71</v>
      </c>
      <c r="E32" t="str">
        <f t="shared" si="1"/>
        <v>205 Unearned revenue</v>
      </c>
      <c r="F32" t="s">
        <v>639</v>
      </c>
      <c r="G32" s="162">
        <v>21811000</v>
      </c>
    </row>
    <row r="33" spans="3:7" x14ac:dyDescent="0.25">
      <c r="C33" s="32">
        <v>210</v>
      </c>
      <c r="D33" s="31" t="s">
        <v>72</v>
      </c>
      <c r="E33" t="str">
        <f t="shared" si="1"/>
        <v>210 Interest payable</v>
      </c>
      <c r="F33" t="s">
        <v>640</v>
      </c>
      <c r="G33" s="162">
        <v>21621000</v>
      </c>
    </row>
    <row r="34" spans="3:7" x14ac:dyDescent="0.25">
      <c r="C34" s="32">
        <v>215</v>
      </c>
      <c r="D34" s="31" t="s">
        <v>73</v>
      </c>
      <c r="E34" t="str">
        <f t="shared" si="1"/>
        <v>215 Deposits payable</v>
      </c>
      <c r="F34" t="s">
        <v>641</v>
      </c>
      <c r="G34" s="162">
        <v>21712000</v>
      </c>
    </row>
    <row r="35" spans="3:7" x14ac:dyDescent="0.25">
      <c r="C35" s="32">
        <v>220</v>
      </c>
      <c r="D35" s="31" t="s">
        <v>74</v>
      </c>
      <c r="E35" t="str">
        <f t="shared" si="1"/>
        <v>220 Funds held for others</v>
      </c>
      <c r="F35" t="s">
        <v>642</v>
      </c>
      <c r="G35" s="162">
        <v>21719000</v>
      </c>
    </row>
    <row r="36" spans="3:7" x14ac:dyDescent="0.25">
      <c r="C36" s="32" t="s">
        <v>49</v>
      </c>
      <c r="D36" s="31" t="s">
        <v>643</v>
      </c>
      <c r="E36" t="str">
        <f t="shared" si="1"/>
        <v>** Split interest agreement obligations - Due in 1 year</v>
      </c>
      <c r="F36" t="s">
        <v>644</v>
      </c>
    </row>
    <row r="37" spans="3:7" x14ac:dyDescent="0.25">
      <c r="C37" s="32" t="s">
        <v>49</v>
      </c>
      <c r="D37" s="31" t="s">
        <v>645</v>
      </c>
      <c r="E37" t="str">
        <f t="shared" si="1"/>
        <v>** Split interest agreement obligations - Noncurrent</v>
      </c>
      <c r="F37" t="s">
        <v>646</v>
      </c>
    </row>
    <row r="38" spans="3:7" x14ac:dyDescent="0.25">
      <c r="C38" s="32" t="s">
        <v>49</v>
      </c>
      <c r="D38" s="31" t="s">
        <v>647</v>
      </c>
      <c r="E38" t="str">
        <f t="shared" si="1"/>
        <v>** Annuities payable - Due in 1 year</v>
      </c>
      <c r="F38" t="s">
        <v>698</v>
      </c>
    </row>
    <row r="39" spans="3:7" x14ac:dyDescent="0.25">
      <c r="C39" s="32" t="s">
        <v>49</v>
      </c>
      <c r="D39" s="31" t="s">
        <v>648</v>
      </c>
      <c r="E39" t="str">
        <f t="shared" si="1"/>
        <v>** Annuities payable - Noncurrent</v>
      </c>
      <c r="F39" t="s">
        <v>649</v>
      </c>
    </row>
    <row r="40" spans="3:7" x14ac:dyDescent="0.25">
      <c r="C40" s="32" t="s">
        <v>49</v>
      </c>
      <c r="D40" s="31" t="s">
        <v>650</v>
      </c>
      <c r="E40" t="str">
        <f t="shared" si="1"/>
        <v>** Capital leases payable - Due in 1 year</v>
      </c>
      <c r="F40" t="s">
        <v>700</v>
      </c>
    </row>
    <row r="41" spans="3:7" x14ac:dyDescent="0.25">
      <c r="C41" s="32" t="s">
        <v>49</v>
      </c>
      <c r="D41" s="31" t="s">
        <v>651</v>
      </c>
      <c r="E41" t="str">
        <f t="shared" si="1"/>
        <v>** Capital leases payable - Noncurrent</v>
      </c>
      <c r="F41" t="s">
        <v>701</v>
      </c>
    </row>
    <row r="42" spans="3:7" x14ac:dyDescent="0.25">
      <c r="C42" s="32" t="s">
        <v>49</v>
      </c>
      <c r="D42" s="31" t="s">
        <v>652</v>
      </c>
      <c r="E42" t="str">
        <f t="shared" si="1"/>
        <v>** SBITA liability - Due in 1 year</v>
      </c>
      <c r="F42" t="s">
        <v>653</v>
      </c>
    </row>
    <row r="43" spans="3:7" x14ac:dyDescent="0.25">
      <c r="C43" s="32" t="s">
        <v>49</v>
      </c>
      <c r="D43" s="31" t="s">
        <v>654</v>
      </c>
      <c r="E43" t="str">
        <f t="shared" si="1"/>
        <v>** SBITA liability - Noncurrent</v>
      </c>
      <c r="F43" t="s">
        <v>655</v>
      </c>
    </row>
    <row r="44" spans="3:7" x14ac:dyDescent="0.25">
      <c r="C44" s="32" t="s">
        <v>49</v>
      </c>
      <c r="D44" s="31" t="s">
        <v>656</v>
      </c>
      <c r="E44" t="str">
        <f t="shared" si="1"/>
        <v>** Notes payable - Due in 1 year</v>
      </c>
      <c r="F44" t="s">
        <v>657</v>
      </c>
    </row>
    <row r="45" spans="3:7" x14ac:dyDescent="0.25">
      <c r="C45" s="32" t="s">
        <v>49</v>
      </c>
      <c r="D45" s="31" t="s">
        <v>658</v>
      </c>
      <c r="E45" t="str">
        <f t="shared" si="1"/>
        <v>** Notes payable - Noncurrent</v>
      </c>
      <c r="F45" t="s">
        <v>659</v>
      </c>
    </row>
    <row r="46" spans="3:7" x14ac:dyDescent="0.25">
      <c r="C46" s="32" t="s">
        <v>49</v>
      </c>
      <c r="D46" s="31" t="s">
        <v>660</v>
      </c>
      <c r="E46" t="str">
        <f t="shared" ref="E46:E47" si="2">+C46&amp;" "&amp;D46</f>
        <v>** Bonds payable - Due in 1 year</v>
      </c>
      <c r="F46" t="s">
        <v>661</v>
      </c>
    </row>
    <row r="47" spans="3:7" x14ac:dyDescent="0.25">
      <c r="C47" s="32" t="s">
        <v>49</v>
      </c>
      <c r="D47" s="31" t="s">
        <v>662</v>
      </c>
      <c r="E47" t="str">
        <f t="shared" si="2"/>
        <v>** Bonds payable - Noncurrent</v>
      </c>
      <c r="F47" t="s">
        <v>699</v>
      </c>
    </row>
    <row r="48" spans="3:7" x14ac:dyDescent="0.25">
      <c r="C48" s="32" t="s">
        <v>49</v>
      </c>
      <c r="D48" s="31" t="s">
        <v>710</v>
      </c>
      <c r="E48" t="str">
        <f t="shared" si="1"/>
        <v>** Compensated absences - Due in 1 year</v>
      </c>
      <c r="F48" t="s">
        <v>712</v>
      </c>
      <c r="G48" s="150" t="s">
        <v>714</v>
      </c>
    </row>
    <row r="49" spans="3:7" x14ac:dyDescent="0.25">
      <c r="C49" s="32" t="s">
        <v>49</v>
      </c>
      <c r="D49" s="31" t="s">
        <v>711</v>
      </c>
      <c r="E49" t="str">
        <f t="shared" si="1"/>
        <v>** Compensated absences - Noncurrent</v>
      </c>
      <c r="F49" t="s">
        <v>713</v>
      </c>
      <c r="G49" s="150" t="s">
        <v>714</v>
      </c>
    </row>
    <row r="52" spans="3:7" x14ac:dyDescent="0.25">
      <c r="D52" s="131" t="s">
        <v>268</v>
      </c>
      <c r="E52" t="s">
        <v>316</v>
      </c>
      <c r="F52" s="171" t="s">
        <v>617</v>
      </c>
    </row>
    <row r="53" spans="3:7" x14ac:dyDescent="0.25">
      <c r="C53" s="32">
        <v>500</v>
      </c>
      <c r="D53" t="s">
        <v>147</v>
      </c>
      <c r="E53" t="str">
        <f t="shared" ref="E53:E63" si="3">+C53&amp;" "&amp;D53</f>
        <v>500 Noncapital gifts</v>
      </c>
      <c r="F53" s="171" t="s">
        <v>663</v>
      </c>
      <c r="G53" s="162">
        <v>46200000</v>
      </c>
    </row>
    <row r="54" spans="3:7" x14ac:dyDescent="0.25">
      <c r="C54" s="32">
        <v>500</v>
      </c>
      <c r="D54" t="s">
        <v>107</v>
      </c>
      <c r="E54" t="str">
        <f t="shared" si="3"/>
        <v>500 Contributed services and facilities</v>
      </c>
      <c r="F54" s="171" t="s">
        <v>663</v>
      </c>
      <c r="G54" s="162">
        <v>46200000</v>
      </c>
    </row>
    <row r="55" spans="3:7" x14ac:dyDescent="0.25">
      <c r="C55" s="32">
        <v>500</v>
      </c>
      <c r="D55" t="s">
        <v>108</v>
      </c>
      <c r="E55" t="str">
        <f t="shared" si="3"/>
        <v>500 Change in value of split interest agreements</v>
      </c>
      <c r="F55" s="171" t="s">
        <v>663</v>
      </c>
      <c r="G55" s="162">
        <v>46200000</v>
      </c>
    </row>
    <row r="56" spans="3:7" x14ac:dyDescent="0.25">
      <c r="C56" s="32">
        <v>510</v>
      </c>
      <c r="D56" t="s">
        <v>148</v>
      </c>
      <c r="E56" t="str">
        <f t="shared" si="3"/>
        <v>510 Capital gifts</v>
      </c>
      <c r="F56" s="171" t="s">
        <v>664</v>
      </c>
      <c r="G56" s="162">
        <v>46203000</v>
      </c>
    </row>
    <row r="57" spans="3:7" x14ac:dyDescent="0.25">
      <c r="C57" s="32">
        <v>520</v>
      </c>
      <c r="D57" t="s">
        <v>149</v>
      </c>
      <c r="E57" t="str">
        <f t="shared" si="3"/>
        <v>520 Additions to endowments</v>
      </c>
      <c r="F57" t="s">
        <v>665</v>
      </c>
      <c r="G57" s="162">
        <v>46205000</v>
      </c>
    </row>
    <row r="58" spans="3:7" x14ac:dyDescent="0.25">
      <c r="C58" s="32">
        <v>530</v>
      </c>
      <c r="D58" t="s">
        <v>109</v>
      </c>
      <c r="E58" t="str">
        <f t="shared" si="3"/>
        <v>530 Investment income</v>
      </c>
      <c r="F58" s="171" t="s">
        <v>666</v>
      </c>
      <c r="G58" s="162">
        <v>43111000</v>
      </c>
    </row>
    <row r="59" spans="3:7" x14ac:dyDescent="0.25">
      <c r="C59" s="32">
        <v>530</v>
      </c>
      <c r="D59" t="s">
        <v>110</v>
      </c>
      <c r="E59" t="str">
        <f t="shared" si="3"/>
        <v>530 Net realized/unrealized gains (losses) on investments</v>
      </c>
      <c r="F59" s="171" t="s">
        <v>666</v>
      </c>
      <c r="G59" s="162">
        <v>43111000</v>
      </c>
    </row>
    <row r="60" spans="3:7" x14ac:dyDescent="0.25">
      <c r="C60" s="32">
        <v>540</v>
      </c>
      <c r="D60" t="s">
        <v>111</v>
      </c>
      <c r="E60" t="str">
        <f t="shared" si="3"/>
        <v>540 Sales and services</v>
      </c>
      <c r="F60" s="171" t="s">
        <v>667</v>
      </c>
      <c r="G60" s="162">
        <v>44101000</v>
      </c>
    </row>
    <row r="61" spans="3:7" x14ac:dyDescent="0.25">
      <c r="C61" s="32">
        <v>550</v>
      </c>
      <c r="D61" t="s">
        <v>112</v>
      </c>
      <c r="E61" t="str">
        <f t="shared" si="3"/>
        <v>550 Rental and lease income</v>
      </c>
      <c r="F61" s="171" t="s">
        <v>667</v>
      </c>
      <c r="G61" s="162">
        <v>44410000</v>
      </c>
    </row>
    <row r="62" spans="3:7" x14ac:dyDescent="0.25">
      <c r="C62" s="32">
        <v>555</v>
      </c>
      <c r="D62" t="s">
        <v>113</v>
      </c>
      <c r="E62" t="str">
        <f t="shared" si="3"/>
        <v>555 Gain on sale of capital assets</v>
      </c>
      <c r="F62" s="171" t="s">
        <v>668</v>
      </c>
      <c r="G62" s="162">
        <v>44330000</v>
      </c>
    </row>
    <row r="63" spans="3:7" x14ac:dyDescent="0.25">
      <c r="C63" s="32">
        <v>560</v>
      </c>
      <c r="D63" t="s">
        <v>114</v>
      </c>
      <c r="E63" t="str">
        <f t="shared" si="3"/>
        <v>560 Miscellaneous income</v>
      </c>
      <c r="F63" s="171" t="s">
        <v>669</v>
      </c>
      <c r="G63" s="162">
        <v>47991000</v>
      </c>
    </row>
    <row r="64" spans="3:7" x14ac:dyDescent="0.25">
      <c r="F64" s="171" t="s">
        <v>287</v>
      </c>
      <c r="G64" s="162" t="s">
        <v>287</v>
      </c>
    </row>
    <row r="66" spans="3:7" x14ac:dyDescent="0.25">
      <c r="D66" s="131" t="s">
        <v>268</v>
      </c>
      <c r="E66" t="s">
        <v>316</v>
      </c>
      <c r="F66" s="171" t="s">
        <v>617</v>
      </c>
    </row>
    <row r="67" spans="3:7" x14ac:dyDescent="0.25">
      <c r="C67" s="32">
        <v>600</v>
      </c>
      <c r="D67" s="3" t="s">
        <v>154</v>
      </c>
      <c r="E67" t="str">
        <f t="shared" ref="E67:E70" si="4">+C67&amp;" "&amp;D67</f>
        <v>600 Noncapital gift revenues recognized by College</v>
      </c>
      <c r="F67" s="171" t="s">
        <v>670</v>
      </c>
    </row>
    <row r="68" spans="3:7" x14ac:dyDescent="0.25">
      <c r="C68" s="32">
        <v>602</v>
      </c>
      <c r="D68" s="3" t="s">
        <v>155</v>
      </c>
      <c r="E68" t="str">
        <f t="shared" si="4"/>
        <v>602 Capital gift revenues recognized by College</v>
      </c>
      <c r="F68" s="171" t="s">
        <v>670</v>
      </c>
    </row>
    <row r="69" spans="3:7" x14ac:dyDescent="0.25">
      <c r="C69" s="32">
        <v>604</v>
      </c>
      <c r="D69" s="3" t="s">
        <v>153</v>
      </c>
      <c r="E69" t="str">
        <f t="shared" si="4"/>
        <v>604 Student tuition and fees recognized by College</v>
      </c>
      <c r="F69" s="171" t="s">
        <v>670</v>
      </c>
    </row>
    <row r="70" spans="3:7" x14ac:dyDescent="0.25">
      <c r="C70" s="32">
        <v>610</v>
      </c>
      <c r="D70" t="s">
        <v>118</v>
      </c>
      <c r="E70" t="str">
        <f t="shared" si="4"/>
        <v>610 Other expenses (include losses on sale of capital assets)</v>
      </c>
      <c r="F70" t="s">
        <v>671</v>
      </c>
      <c r="G70" s="162">
        <v>55900000</v>
      </c>
    </row>
    <row r="72" spans="3:7" x14ac:dyDescent="0.25">
      <c r="D72" s="225" t="s">
        <v>672</v>
      </c>
    </row>
    <row r="73" spans="3:7" ht="15.6" x14ac:dyDescent="0.3">
      <c r="D73" s="223" t="s">
        <v>329</v>
      </c>
    </row>
    <row r="74" spans="3:7" x14ac:dyDescent="0.25">
      <c r="D74" t="s">
        <v>673</v>
      </c>
    </row>
    <row r="75" spans="3:7" x14ac:dyDescent="0.25">
      <c r="D75" t="s">
        <v>674</v>
      </c>
    </row>
    <row r="77" spans="3:7" ht="15.6" x14ac:dyDescent="0.3">
      <c r="D77" s="224" t="s">
        <v>675</v>
      </c>
    </row>
    <row r="78" spans="3:7" ht="15.6" x14ac:dyDescent="0.3">
      <c r="D78" s="223" t="s">
        <v>308</v>
      </c>
    </row>
    <row r="79" spans="3:7" ht="15.6" x14ac:dyDescent="0.3">
      <c r="D79" s="223" t="s">
        <v>702</v>
      </c>
    </row>
    <row r="80" spans="3:7" ht="15.6" x14ac:dyDescent="0.3">
      <c r="D80" s="223" t="s">
        <v>686</v>
      </c>
    </row>
    <row r="81" spans="4:6" ht="15.6" x14ac:dyDescent="0.3">
      <c r="D81" s="223" t="s">
        <v>676</v>
      </c>
    </row>
    <row r="82" spans="4:6" ht="15.6" x14ac:dyDescent="0.3">
      <c r="D82" s="223" t="s">
        <v>677</v>
      </c>
    </row>
    <row r="83" spans="4:6" ht="15.6" x14ac:dyDescent="0.3">
      <c r="D83" s="223" t="s">
        <v>678</v>
      </c>
    </row>
    <row r="84" spans="4:6" ht="15.6" x14ac:dyDescent="0.3">
      <c r="D84" s="223" t="s">
        <v>679</v>
      </c>
    </row>
    <row r="85" spans="4:6" ht="15.6" x14ac:dyDescent="0.3">
      <c r="D85" s="223" t="s">
        <v>680</v>
      </c>
    </row>
    <row r="86" spans="4:6" ht="15.6" x14ac:dyDescent="0.3">
      <c r="D86" s="223" t="s">
        <v>681</v>
      </c>
    </row>
    <row r="87" spans="4:6" ht="15.6" x14ac:dyDescent="0.3">
      <c r="D87" s="223" t="s">
        <v>682</v>
      </c>
    </row>
    <row r="88" spans="4:6" ht="15.6" x14ac:dyDescent="0.3">
      <c r="D88" s="223" t="s">
        <v>683</v>
      </c>
    </row>
    <row r="89" spans="4:6" ht="15.6" x14ac:dyDescent="0.3">
      <c r="D89" s="223" t="s">
        <v>684</v>
      </c>
    </row>
    <row r="90" spans="4:6" ht="15.6" x14ac:dyDescent="0.3">
      <c r="D90" s="223" t="s">
        <v>685</v>
      </c>
      <c r="E90" s="224"/>
      <c r="F90" s="223" t="s">
        <v>287</v>
      </c>
    </row>
    <row r="92" spans="4:6" ht="15.6" x14ac:dyDescent="0.3">
      <c r="D92" s="223" t="s">
        <v>687</v>
      </c>
      <c r="E92" s="151" t="s">
        <v>692</v>
      </c>
    </row>
    <row r="93" spans="4:6" ht="15.6" x14ac:dyDescent="0.3">
      <c r="D93" s="223" t="s">
        <v>688</v>
      </c>
      <c r="E93" s="151" t="s">
        <v>692</v>
      </c>
    </row>
  </sheetData>
  <sheetProtection algorithmName="SHA-512" hashValue="40fXquNPtziVewF9eXfeXXIZyO5DoOa2oZzpsGfxIHhzobKp7sVf7qCj+nU5nlgz9zygDXIlLSP50fDOpmtxWw==" saltValue="/pwSqvpnOyG6OK5RphlIOg==" spinCount="100000" sheet="1" objects="1" scenario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7"/>
  <sheetViews>
    <sheetView showGridLines="0" workbookViewId="0">
      <selection activeCell="K33" sqref="K33"/>
    </sheetView>
  </sheetViews>
  <sheetFormatPr defaultColWidth="9.109375" defaultRowHeight="13.2" x14ac:dyDescent="0.25"/>
  <cols>
    <col min="1" max="1" width="12.6640625" customWidth="1"/>
    <col min="2" max="2" width="2.6640625" customWidth="1"/>
    <col min="3" max="3" width="28.6640625" customWidth="1"/>
    <col min="4" max="4" width="36.5546875" customWidth="1"/>
    <col min="5" max="5" width="12.6640625" customWidth="1"/>
  </cols>
  <sheetData>
    <row r="1" spans="1:5" ht="6" customHeight="1" x14ac:dyDescent="0.25"/>
    <row r="2" spans="1:5" ht="12.75" customHeight="1" x14ac:dyDescent="0.25">
      <c r="A2" s="351" t="s">
        <v>15</v>
      </c>
      <c r="B2" s="351"/>
      <c r="C2" s="351"/>
      <c r="D2" s="351"/>
      <c r="E2" s="351"/>
    </row>
    <row r="3" spans="1:5" ht="12.75" customHeight="1" x14ac:dyDescent="0.25">
      <c r="A3" s="351" t="s">
        <v>16</v>
      </c>
      <c r="B3" s="351"/>
      <c r="C3" s="351"/>
      <c r="D3" s="351"/>
      <c r="E3" s="351"/>
    </row>
    <row r="4" spans="1:5" ht="9" customHeight="1" x14ac:dyDescent="0.25">
      <c r="A4" s="280"/>
      <c r="B4" s="280"/>
      <c r="C4" s="280"/>
      <c r="D4" s="280"/>
      <c r="E4" s="280"/>
    </row>
    <row r="5" spans="1:5" x14ac:dyDescent="0.25">
      <c r="B5" s="24" t="s">
        <v>17</v>
      </c>
    </row>
    <row r="6" spans="1:5" x14ac:dyDescent="0.25">
      <c r="C6" s="25" t="s">
        <v>18</v>
      </c>
      <c r="D6" s="173" t="s">
        <v>345</v>
      </c>
    </row>
    <row r="7" spans="1:5" x14ac:dyDescent="0.25">
      <c r="C7" s="25" t="s">
        <v>20</v>
      </c>
      <c r="D7" t="e">
        <f>VLOOKUP(D6,'Net Assets'!A5:C62,2,FALSE)</f>
        <v>#N/A</v>
      </c>
    </row>
    <row r="8" spans="1:5" ht="6.9" customHeight="1" x14ac:dyDescent="0.25">
      <c r="B8" s="24"/>
    </row>
    <row r="9" spans="1:5" x14ac:dyDescent="0.25">
      <c r="B9" s="24" t="s">
        <v>21</v>
      </c>
    </row>
    <row r="10" spans="1:5" x14ac:dyDescent="0.25">
      <c r="C10" s="25" t="s">
        <v>22</v>
      </c>
      <c r="D10" s="173"/>
    </row>
    <row r="11" spans="1:5" ht="5.0999999999999996" customHeight="1" x14ac:dyDescent="0.25">
      <c r="C11" s="25"/>
      <c r="D11" s="25"/>
    </row>
    <row r="12" spans="1:5" x14ac:dyDescent="0.25">
      <c r="C12" s="25" t="s">
        <v>23</v>
      </c>
      <c r="D12" s="196"/>
    </row>
    <row r="13" spans="1:5" ht="5.0999999999999996" customHeight="1" x14ac:dyDescent="0.25">
      <c r="C13" s="25"/>
      <c r="D13" s="25"/>
    </row>
    <row r="14" spans="1:5" x14ac:dyDescent="0.25">
      <c r="C14" s="25" t="s">
        <v>24</v>
      </c>
      <c r="D14" s="196"/>
    </row>
    <row r="15" spans="1:5" ht="6.9" customHeight="1" x14ac:dyDescent="0.25"/>
    <row r="16" spans="1:5" x14ac:dyDescent="0.25">
      <c r="B16" s="24" t="s">
        <v>25</v>
      </c>
    </row>
    <row r="17" spans="3:4" x14ac:dyDescent="0.25">
      <c r="C17" t="s">
        <v>26</v>
      </c>
      <c r="D17" s="173"/>
    </row>
    <row r="18" spans="3:4" ht="5.0999999999999996" customHeight="1" x14ac:dyDescent="0.25"/>
    <row r="19" spans="3:4" x14ac:dyDescent="0.25">
      <c r="C19" t="s">
        <v>27</v>
      </c>
      <c r="D19" s="196"/>
    </row>
    <row r="20" spans="3:4" ht="5.0999999999999996" customHeight="1" x14ac:dyDescent="0.25"/>
    <row r="21" spans="3:4" x14ac:dyDescent="0.25">
      <c r="C21" t="s">
        <v>28</v>
      </c>
      <c r="D21" s="196"/>
    </row>
    <row r="22" spans="3:4" ht="5.0999999999999996" customHeight="1" x14ac:dyDescent="0.25"/>
    <row r="23" spans="3:4" x14ac:dyDescent="0.25">
      <c r="C23" t="s">
        <v>29</v>
      </c>
      <c r="D23" s="196"/>
    </row>
    <row r="24" spans="3:4" ht="5.0999999999999996" customHeight="1" x14ac:dyDescent="0.25"/>
    <row r="25" spans="3:4" x14ac:dyDescent="0.25">
      <c r="C25" t="s">
        <v>30</v>
      </c>
      <c r="D25" s="196"/>
    </row>
    <row r="26" spans="3:4" ht="5.0999999999999996" customHeight="1" x14ac:dyDescent="0.25"/>
    <row r="27" spans="3:4" ht="12" customHeight="1" x14ac:dyDescent="0.25">
      <c r="C27" s="350" t="s">
        <v>31</v>
      </c>
      <c r="D27" s="350"/>
    </row>
    <row r="28" spans="3:4" ht="6.9" customHeight="1" x14ac:dyDescent="0.25">
      <c r="C28" s="279"/>
      <c r="D28" s="279"/>
    </row>
    <row r="29" spans="3:4" x14ac:dyDescent="0.25">
      <c r="C29" s="54" t="s">
        <v>32</v>
      </c>
      <c r="D29" s="279"/>
    </row>
    <row r="30" spans="3:4" x14ac:dyDescent="0.25">
      <c r="C30" s="174" t="s">
        <v>33</v>
      </c>
      <c r="D30" s="279"/>
    </row>
    <row r="31" spans="3:4" x14ac:dyDescent="0.25">
      <c r="C31" t="s">
        <v>34</v>
      </c>
    </row>
    <row r="32" spans="3:4" x14ac:dyDescent="0.25">
      <c r="C32" t="s">
        <v>35</v>
      </c>
    </row>
    <row r="33" spans="3:5" ht="13.8" thickBot="1" x14ac:dyDescent="0.3">
      <c r="C33" t="s">
        <v>36</v>
      </c>
    </row>
    <row r="34" spans="3:5" ht="13.8" thickBot="1" x14ac:dyDescent="0.3">
      <c r="C34" s="106" t="s">
        <v>37</v>
      </c>
      <c r="D34" s="107"/>
      <c r="E34" s="108"/>
    </row>
    <row r="35" spans="3:5" x14ac:dyDescent="0.25">
      <c r="C35" s="1" t="s">
        <v>38</v>
      </c>
    </row>
    <row r="36" spans="3:5" x14ac:dyDescent="0.25">
      <c r="C36" s="1" t="s">
        <v>39</v>
      </c>
    </row>
    <row r="37" spans="3:5" x14ac:dyDescent="0.25">
      <c r="C37" s="1"/>
    </row>
  </sheetData>
  <sheetProtection algorithmName="SHA-512" hashValue="XfDf+eju5hVTbjrpdFDzMtdg+/ni0Q2Q5vfx6f9pJrAOfSftjIoWqg5Wb8K5k0gF5xHqx+gptq73cMVDzA54QA==" saltValue="i+kbmjoVZlxdgPOmZW2vOg==" spinCount="100000" sheet="1" autoFilter="0"/>
  <mergeCells count="3">
    <mergeCell ref="C27:D27"/>
    <mergeCell ref="A2:E2"/>
    <mergeCell ref="A3:E3"/>
  </mergeCells>
  <phoneticPr fontId="0" type="noConversion"/>
  <dataValidations count="1">
    <dataValidation type="list" allowBlank="1" showInputMessage="1" showErrorMessage="1" sqref="D6" xr:uid="{00000000-0002-0000-0100-000000000000}">
      <formula1>Number</formula1>
    </dataValidation>
  </dataValidations>
  <pageMargins left="0.25" right="0.25" top="1" bottom="1" header="0.5" footer="0.2"/>
  <pageSetup orientation="portrait" r:id="rId1"/>
  <headerFooter alignWithMargins="0">
    <oddFooter>&amp;L&amp;F &amp;A&amp;C&amp;P of &amp;N&amp;R&amp;D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A05E-2F26-496C-9ABE-11F1D68D963F}">
  <sheetPr codeName="Sheet11">
    <pageSetUpPr fitToPage="1"/>
  </sheetPr>
  <dimension ref="A1:E22"/>
  <sheetViews>
    <sheetView workbookViewId="0">
      <selection activeCell="K10" sqref="K10"/>
    </sheetView>
  </sheetViews>
  <sheetFormatPr defaultRowHeight="13.2" x14ac:dyDescent="0.25"/>
  <cols>
    <col min="1" max="1" width="13.6640625" customWidth="1"/>
    <col min="2" max="2" width="2.6640625" customWidth="1"/>
    <col min="3" max="3" width="44.6640625" customWidth="1"/>
    <col min="4" max="4" width="2.6640625" customWidth="1"/>
    <col min="5" max="5" width="70.6640625" customWidth="1"/>
  </cols>
  <sheetData>
    <row r="1" spans="1:5" ht="17.399999999999999" customHeight="1" x14ac:dyDescent="0.3">
      <c r="A1" s="352" t="s">
        <v>12</v>
      </c>
      <c r="B1" s="352"/>
      <c r="C1" s="352"/>
      <c r="D1" s="352"/>
      <c r="E1" s="352"/>
    </row>
    <row r="2" spans="1:5" ht="15.6" customHeight="1" x14ac:dyDescent="0.3">
      <c r="A2" s="353" t="s">
        <v>722</v>
      </c>
      <c r="B2" s="353"/>
      <c r="C2" s="353"/>
      <c r="D2" s="353"/>
      <c r="E2" s="353"/>
    </row>
    <row r="3" spans="1:5" ht="15.75" customHeight="1" x14ac:dyDescent="0.25">
      <c r="A3" s="200"/>
      <c r="B3" s="201"/>
      <c r="C3" s="200"/>
      <c r="D3" s="201"/>
      <c r="E3" s="202"/>
    </row>
    <row r="4" spans="1:5" ht="15.75" customHeight="1" x14ac:dyDescent="0.25"/>
    <row r="5" spans="1:5" ht="94.95" customHeight="1" thickBot="1" x14ac:dyDescent="0.3">
      <c r="A5" s="203" t="s">
        <v>40</v>
      </c>
      <c r="C5" s="203" t="s">
        <v>41</v>
      </c>
      <c r="E5" s="204" t="s">
        <v>42</v>
      </c>
    </row>
    <row r="6" spans="1:5" ht="15" customHeight="1" x14ac:dyDescent="0.25">
      <c r="A6" s="205">
        <v>45883</v>
      </c>
      <c r="B6" s="201"/>
      <c r="C6" s="207" t="s">
        <v>728</v>
      </c>
      <c r="D6" s="201"/>
      <c r="E6" s="206" t="s">
        <v>729</v>
      </c>
    </row>
    <row r="7" spans="1:5" ht="23.4" customHeight="1" x14ac:dyDescent="0.25">
      <c r="A7" s="239" t="s">
        <v>287</v>
      </c>
      <c r="B7" s="240"/>
      <c r="C7" s="241" t="s">
        <v>287</v>
      </c>
      <c r="D7" s="240"/>
      <c r="E7" s="242" t="s">
        <v>287</v>
      </c>
    </row>
    <row r="8" spans="1:5" ht="15" customHeight="1" x14ac:dyDescent="0.25">
      <c r="A8" s="205"/>
      <c r="B8" s="201"/>
      <c r="C8" s="207"/>
      <c r="D8" s="201"/>
      <c r="E8" s="206"/>
    </row>
    <row r="9" spans="1:5" ht="15" customHeight="1" x14ac:dyDescent="0.25">
      <c r="A9" s="205"/>
      <c r="B9" s="201"/>
      <c r="C9" s="207"/>
      <c r="D9" s="201"/>
      <c r="E9" s="206"/>
    </row>
    <row r="10" spans="1:5" ht="15" customHeight="1" x14ac:dyDescent="0.25">
      <c r="A10" s="205"/>
      <c r="B10" s="201"/>
      <c r="C10" s="207"/>
      <c r="D10" s="201"/>
      <c r="E10" s="206"/>
    </row>
    <row r="11" spans="1:5" ht="15" customHeight="1" x14ac:dyDescent="0.25">
      <c r="A11" s="205"/>
      <c r="B11" s="201"/>
      <c r="C11" s="207"/>
      <c r="D11" s="201"/>
      <c r="E11" s="206"/>
    </row>
    <row r="12" spans="1:5" ht="15" customHeight="1" x14ac:dyDescent="0.25">
      <c r="A12" s="205"/>
      <c r="B12" s="201"/>
      <c r="C12" s="207"/>
      <c r="D12" s="201"/>
      <c r="E12" s="206"/>
    </row>
    <row r="13" spans="1:5" ht="15" customHeight="1" x14ac:dyDescent="0.25">
      <c r="A13" s="205"/>
      <c r="B13" s="201"/>
      <c r="C13" s="207"/>
      <c r="D13" s="201"/>
      <c r="E13" s="206"/>
    </row>
    <row r="14" spans="1:5" ht="13.8" x14ac:dyDescent="0.25">
      <c r="A14" s="205"/>
      <c r="B14" s="201"/>
      <c r="C14" s="207"/>
      <c r="D14" s="201"/>
      <c r="E14" s="206"/>
    </row>
    <row r="15" spans="1:5" ht="13.8" x14ac:dyDescent="0.25">
      <c r="A15" s="205"/>
      <c r="B15" s="201"/>
      <c r="C15" s="207"/>
      <c r="D15" s="201"/>
      <c r="E15" s="206"/>
    </row>
    <row r="16" spans="1:5" ht="13.8" x14ac:dyDescent="0.25">
      <c r="A16" s="205"/>
      <c r="B16" s="201"/>
      <c r="C16" s="207"/>
      <c r="D16" s="201"/>
      <c r="E16" s="206"/>
    </row>
    <row r="17" spans="1:5" ht="13.8" x14ac:dyDescent="0.25">
      <c r="A17" s="200"/>
      <c r="B17" s="201"/>
      <c r="C17" s="200"/>
      <c r="D17" s="201"/>
      <c r="E17" s="208"/>
    </row>
    <row r="18" spans="1:5" ht="13.8" x14ac:dyDescent="0.25">
      <c r="A18" s="200"/>
      <c r="B18" s="201"/>
      <c r="C18" s="200"/>
      <c r="D18" s="201"/>
      <c r="E18" s="208"/>
    </row>
    <row r="19" spans="1:5" ht="13.8" x14ac:dyDescent="0.25">
      <c r="A19" s="200"/>
      <c r="B19" s="201"/>
      <c r="C19" s="200"/>
      <c r="D19" s="201"/>
      <c r="E19" s="208"/>
    </row>
    <row r="20" spans="1:5" ht="13.8" x14ac:dyDescent="0.25">
      <c r="A20" s="200"/>
      <c r="B20" s="201"/>
      <c r="C20" s="200"/>
      <c r="D20" s="201"/>
      <c r="E20" s="208"/>
    </row>
    <row r="21" spans="1:5" ht="13.8" x14ac:dyDescent="0.25">
      <c r="A21" s="200"/>
      <c r="B21" s="201"/>
      <c r="C21" s="200"/>
      <c r="D21" s="201"/>
      <c r="E21" s="208"/>
    </row>
    <row r="22" spans="1:5" ht="13.8" x14ac:dyDescent="0.25">
      <c r="A22" s="200"/>
      <c r="B22" s="201"/>
      <c r="C22" s="200"/>
      <c r="D22" s="201"/>
      <c r="E22" s="208"/>
    </row>
  </sheetData>
  <sheetProtection algorithmName="SHA-512" hashValue="CnDm2HoWohUHOLzT3Eh2RqnuRuiVXWEBZgUD+IL0YBB0D4AR7uMv4ETHavBNvT1AhGwom0upUtvXOcOdic+cfg==" saltValue="rJ2+YbUpKbez4Q+J5NGDNA==" spinCount="100000" sheet="1" objects="1" scenarios="1"/>
  <mergeCells count="2">
    <mergeCell ref="A1:E1"/>
    <mergeCell ref="A2:E2"/>
  </mergeCells>
  <pageMargins left="0.7" right="0.7" top="0.75" bottom="0.75" header="0.3" footer="0.3"/>
  <pageSetup scale="93" orientation="landscape" r:id="rId1"/>
  <rowBreaks count="1" manualBreakCount="1">
    <brk id="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77"/>
  <sheetViews>
    <sheetView workbookViewId="0">
      <selection activeCell="D27" sqref="D27"/>
    </sheetView>
  </sheetViews>
  <sheetFormatPr defaultRowHeight="13.2" x14ac:dyDescent="0.25"/>
  <cols>
    <col min="1" max="1" width="6.33203125" customWidth="1"/>
    <col min="2" max="2" width="40.88671875" customWidth="1"/>
    <col min="3" max="3" width="1.33203125" customWidth="1"/>
    <col min="4" max="4" width="13.6640625" customWidth="1"/>
    <col min="5" max="5" width="1.33203125" customWidth="1"/>
    <col min="6" max="6" width="13.6640625" customWidth="1"/>
    <col min="7" max="7" width="1.33203125" customWidth="1"/>
    <col min="8" max="8" width="12.6640625" customWidth="1"/>
    <col min="9" max="9" width="1.33203125" customWidth="1"/>
    <col min="10" max="10" width="12.6640625" customWidth="1"/>
    <col min="11" max="11" width="1.33203125" customWidth="1"/>
    <col min="12" max="12" width="12.6640625" customWidth="1"/>
    <col min="13" max="13" width="1.33203125" customWidth="1"/>
    <col min="14" max="14" width="13.6640625" customWidth="1"/>
    <col min="16" max="16" width="14.44140625" customWidth="1"/>
  </cols>
  <sheetData>
    <row r="1" spans="1:14" ht="12.75" customHeight="1" x14ac:dyDescent="0.25">
      <c r="A1" s="1" t="e">
        <f>CONCATENATE(Info!D7," Foundations")</f>
        <v>#N/A</v>
      </c>
      <c r="N1" s="30" t="s">
        <v>44</v>
      </c>
    </row>
    <row r="2" spans="1:14" ht="12.75" customHeight="1" x14ac:dyDescent="0.25">
      <c r="A2" s="1" t="s">
        <v>45</v>
      </c>
    </row>
    <row r="3" spans="1:14" ht="12.75" customHeight="1" x14ac:dyDescent="0.25">
      <c r="A3" s="209" t="str">
        <f>' Use Stmt'!A4</f>
        <v>For the Year Ended June 30, 2025</v>
      </c>
    </row>
    <row r="4" spans="1:14" ht="6" customHeight="1" x14ac:dyDescent="0.25">
      <c r="B4" s="171"/>
    </row>
    <row r="5" spans="1:14" ht="11.85" customHeight="1" x14ac:dyDescent="0.25">
      <c r="B5" s="171"/>
      <c r="D5" s="354">
        <f>Info!D17</f>
        <v>0</v>
      </c>
      <c r="F5" s="354">
        <f>Info!D19</f>
        <v>0</v>
      </c>
      <c r="H5" s="354">
        <f>Info!D21</f>
        <v>0</v>
      </c>
      <c r="J5" s="354">
        <f>Info!D23</f>
        <v>0</v>
      </c>
      <c r="L5" s="354">
        <f>Info!D25</f>
        <v>0</v>
      </c>
    </row>
    <row r="6" spans="1:14" ht="11.85" customHeight="1" x14ac:dyDescent="0.25">
      <c r="D6" s="354"/>
      <c r="E6" s="31"/>
      <c r="F6" s="354"/>
      <c r="G6" s="32"/>
      <c r="H6" s="354"/>
      <c r="I6" s="32"/>
      <c r="J6" s="354"/>
      <c r="K6" s="32"/>
      <c r="L6" s="354"/>
      <c r="M6" s="32"/>
      <c r="N6" s="32"/>
    </row>
    <row r="7" spans="1:14" ht="11.85" customHeight="1" x14ac:dyDescent="0.25">
      <c r="D7" s="355"/>
      <c r="E7" s="31"/>
      <c r="F7" s="355"/>
      <c r="G7" s="32"/>
      <c r="H7" s="355"/>
      <c r="I7" s="32"/>
      <c r="J7" s="355"/>
      <c r="K7" s="32"/>
      <c r="L7" s="355"/>
      <c r="M7" s="32"/>
      <c r="N7" s="40" t="s">
        <v>46</v>
      </c>
    </row>
    <row r="8" spans="1:14" ht="12" customHeight="1" x14ac:dyDescent="0.25">
      <c r="A8" s="31"/>
      <c r="B8" s="131" t="s">
        <v>47</v>
      </c>
      <c r="D8" s="31"/>
      <c r="E8" s="31"/>
      <c r="F8" s="31"/>
      <c r="G8" s="31"/>
      <c r="H8" s="31"/>
      <c r="I8" s="31"/>
      <c r="J8" s="31"/>
      <c r="K8" s="31"/>
      <c r="L8" s="31"/>
      <c r="M8" s="31"/>
      <c r="N8" s="31"/>
    </row>
    <row r="9" spans="1:14" ht="11.85" customHeight="1" x14ac:dyDescent="0.25">
      <c r="A9" s="32">
        <v>100</v>
      </c>
      <c r="B9" s="31" t="s">
        <v>48</v>
      </c>
      <c r="D9" s="175">
        <v>0</v>
      </c>
      <c r="E9" s="31"/>
      <c r="F9" s="175">
        <v>0</v>
      </c>
      <c r="G9" s="176"/>
      <c r="H9" s="175">
        <v>0</v>
      </c>
      <c r="I9" s="176"/>
      <c r="J9" s="175">
        <v>0</v>
      </c>
      <c r="K9" s="176"/>
      <c r="L9" s="175">
        <v>0</v>
      </c>
      <c r="M9" s="176"/>
      <c r="N9" s="176">
        <f>D9+F9+H9+J9+L9</f>
        <v>0</v>
      </c>
    </row>
    <row r="10" spans="1:14" ht="11.85" customHeight="1" x14ac:dyDescent="0.25">
      <c r="A10" s="32" t="s">
        <v>49</v>
      </c>
      <c r="B10" s="31" t="s">
        <v>50</v>
      </c>
      <c r="D10" s="177">
        <v>0</v>
      </c>
      <c r="E10" s="31"/>
      <c r="F10" s="177">
        <v>0</v>
      </c>
      <c r="G10" s="178"/>
      <c r="H10" s="177">
        <v>0</v>
      </c>
      <c r="I10" s="178"/>
      <c r="J10" s="177">
        <v>0</v>
      </c>
      <c r="K10" s="178"/>
      <c r="L10" s="177">
        <v>0</v>
      </c>
      <c r="M10" s="178"/>
      <c r="N10" s="178">
        <f>D10+F10+H10+J10+L10</f>
        <v>0</v>
      </c>
    </row>
    <row r="11" spans="1:14" ht="11.85" customHeight="1" x14ac:dyDescent="0.25">
      <c r="A11" s="32">
        <v>105</v>
      </c>
      <c r="B11" s="31" t="s">
        <v>51</v>
      </c>
      <c r="D11" s="177">
        <v>0</v>
      </c>
      <c r="E11" s="31"/>
      <c r="F11" s="177">
        <v>0</v>
      </c>
      <c r="G11" s="178"/>
      <c r="H11" s="177">
        <v>0</v>
      </c>
      <c r="I11" s="178"/>
      <c r="J11" s="177">
        <v>0</v>
      </c>
      <c r="K11" s="178"/>
      <c r="L11" s="177">
        <v>0</v>
      </c>
      <c r="M11" s="178"/>
      <c r="N11" s="178">
        <f>D11+F11+H11+J11+L11</f>
        <v>0</v>
      </c>
    </row>
    <row r="12" spans="1:14" ht="11.85" customHeight="1" x14ac:dyDescent="0.25">
      <c r="A12" s="32">
        <v>105</v>
      </c>
      <c r="B12" s="31" t="s">
        <v>52</v>
      </c>
      <c r="D12" s="177">
        <v>0</v>
      </c>
      <c r="E12" s="31"/>
      <c r="F12" s="177">
        <v>0</v>
      </c>
      <c r="G12" s="178"/>
      <c r="H12" s="177">
        <v>0</v>
      </c>
      <c r="I12" s="178"/>
      <c r="J12" s="177">
        <v>0</v>
      </c>
      <c r="K12" s="178"/>
      <c r="L12" s="177">
        <v>0</v>
      </c>
      <c r="M12" s="178"/>
      <c r="N12" s="178">
        <f>D12+F12+H12+J12+L12</f>
        <v>0</v>
      </c>
    </row>
    <row r="13" spans="1:14" ht="11.85" customHeight="1" x14ac:dyDescent="0.25">
      <c r="A13" s="32">
        <v>105</v>
      </c>
      <c r="B13" s="31" t="s">
        <v>53</v>
      </c>
      <c r="D13" s="177">
        <v>0</v>
      </c>
      <c r="E13" s="31"/>
      <c r="F13" s="177">
        <v>0</v>
      </c>
      <c r="G13" s="178"/>
      <c r="H13" s="177">
        <v>0</v>
      </c>
      <c r="I13" s="178"/>
      <c r="J13" s="177">
        <v>0</v>
      </c>
      <c r="K13" s="178"/>
      <c r="L13" s="177">
        <v>0</v>
      </c>
      <c r="M13" s="178"/>
      <c r="N13" s="178">
        <f t="shared" ref="N13:N27" si="0">D13+F13+H13+J13+L13</f>
        <v>0</v>
      </c>
    </row>
    <row r="14" spans="1:14" ht="11.85" customHeight="1" x14ac:dyDescent="0.25">
      <c r="A14" s="32">
        <v>105</v>
      </c>
      <c r="B14" s="31" t="s">
        <v>54</v>
      </c>
      <c r="D14" s="177">
        <v>0</v>
      </c>
      <c r="E14" s="31"/>
      <c r="F14" s="177">
        <v>0</v>
      </c>
      <c r="G14" s="178"/>
      <c r="H14" s="177">
        <v>0</v>
      </c>
      <c r="I14" s="178"/>
      <c r="J14" s="177">
        <v>0</v>
      </c>
      <c r="K14" s="178"/>
      <c r="L14" s="177">
        <v>0</v>
      </c>
      <c r="M14" s="178"/>
      <c r="N14" s="178">
        <f t="shared" si="0"/>
        <v>0</v>
      </c>
    </row>
    <row r="15" spans="1:14" ht="11.85" customHeight="1" x14ac:dyDescent="0.25">
      <c r="A15" s="32">
        <v>105</v>
      </c>
      <c r="B15" s="31" t="s">
        <v>55</v>
      </c>
      <c r="D15" s="177">
        <v>0</v>
      </c>
      <c r="E15" s="31"/>
      <c r="F15" s="177">
        <v>0</v>
      </c>
      <c r="G15" s="178"/>
      <c r="H15" s="177">
        <v>0</v>
      </c>
      <c r="I15" s="178"/>
      <c r="J15" s="177">
        <v>0</v>
      </c>
      <c r="K15" s="178"/>
      <c r="L15" s="177">
        <v>0</v>
      </c>
      <c r="M15" s="178"/>
      <c r="N15" s="178">
        <f t="shared" si="0"/>
        <v>0</v>
      </c>
    </row>
    <row r="16" spans="1:14" ht="11.85" customHeight="1" x14ac:dyDescent="0.25">
      <c r="A16" s="32">
        <v>105</v>
      </c>
      <c r="B16" s="31" t="s">
        <v>56</v>
      </c>
      <c r="D16" s="177">
        <v>0</v>
      </c>
      <c r="E16" s="31"/>
      <c r="F16" s="177">
        <v>0</v>
      </c>
      <c r="G16" s="178"/>
      <c r="H16" s="177">
        <v>0</v>
      </c>
      <c r="I16" s="178"/>
      <c r="J16" s="177">
        <v>0</v>
      </c>
      <c r="K16" s="178"/>
      <c r="L16" s="177">
        <v>0</v>
      </c>
      <c r="M16" s="178"/>
      <c r="N16" s="178">
        <f t="shared" si="0"/>
        <v>0</v>
      </c>
    </row>
    <row r="17" spans="1:14" ht="11.85" customHeight="1" x14ac:dyDescent="0.25">
      <c r="A17" s="32">
        <v>110</v>
      </c>
      <c r="B17" s="31" t="s">
        <v>57</v>
      </c>
      <c r="D17" s="177">
        <v>0</v>
      </c>
      <c r="E17" s="31"/>
      <c r="F17" s="177">
        <v>0</v>
      </c>
      <c r="G17" s="178"/>
      <c r="H17" s="177">
        <v>0</v>
      </c>
      <c r="I17" s="178"/>
      <c r="J17" s="177">
        <v>0</v>
      </c>
      <c r="K17" s="178"/>
      <c r="L17" s="177">
        <v>0</v>
      </c>
      <c r="M17" s="178"/>
      <c r="N17" s="178">
        <f t="shared" si="0"/>
        <v>0</v>
      </c>
    </row>
    <row r="18" spans="1:14" ht="11.85" customHeight="1" x14ac:dyDescent="0.25">
      <c r="A18" s="32">
        <v>110</v>
      </c>
      <c r="B18" s="31" t="s">
        <v>58</v>
      </c>
      <c r="D18" s="177">
        <v>0</v>
      </c>
      <c r="E18" s="31"/>
      <c r="F18" s="177">
        <v>0</v>
      </c>
      <c r="G18" s="178"/>
      <c r="H18" s="177">
        <v>0</v>
      </c>
      <c r="I18" s="178"/>
      <c r="J18" s="177">
        <v>0</v>
      </c>
      <c r="K18" s="178"/>
      <c r="L18" s="177">
        <v>0</v>
      </c>
      <c r="M18" s="178"/>
      <c r="N18" s="178">
        <f t="shared" si="0"/>
        <v>0</v>
      </c>
    </row>
    <row r="19" spans="1:14" ht="11.85" customHeight="1" x14ac:dyDescent="0.25">
      <c r="A19" s="32">
        <v>115</v>
      </c>
      <c r="B19" s="31" t="s">
        <v>59</v>
      </c>
      <c r="D19" s="177">
        <v>0</v>
      </c>
      <c r="E19" s="31"/>
      <c r="F19" s="177">
        <v>0</v>
      </c>
      <c r="G19" s="178"/>
      <c r="H19" s="177">
        <v>0</v>
      </c>
      <c r="I19" s="178"/>
      <c r="J19" s="177">
        <v>0</v>
      </c>
      <c r="K19" s="178"/>
      <c r="L19" s="177">
        <v>0</v>
      </c>
      <c r="M19" s="178"/>
      <c r="N19" s="178">
        <f t="shared" si="0"/>
        <v>0</v>
      </c>
    </row>
    <row r="20" spans="1:14" ht="11.85" customHeight="1" x14ac:dyDescent="0.25">
      <c r="A20" s="32">
        <v>120</v>
      </c>
      <c r="B20" s="31" t="s">
        <v>60</v>
      </c>
      <c r="D20" s="177">
        <v>0</v>
      </c>
      <c r="E20" s="31"/>
      <c r="F20" s="177">
        <v>0</v>
      </c>
      <c r="G20" s="178"/>
      <c r="H20" s="177">
        <v>0</v>
      </c>
      <c r="I20" s="178"/>
      <c r="J20" s="177">
        <v>0</v>
      </c>
      <c r="K20" s="178"/>
      <c r="L20" s="177">
        <v>0</v>
      </c>
      <c r="M20" s="178"/>
      <c r="N20" s="178">
        <f t="shared" si="0"/>
        <v>0</v>
      </c>
    </row>
    <row r="21" spans="1:14" ht="11.85" customHeight="1" x14ac:dyDescent="0.25">
      <c r="A21" s="32">
        <v>125</v>
      </c>
      <c r="B21" s="31" t="s">
        <v>61</v>
      </c>
      <c r="D21" s="177">
        <v>0</v>
      </c>
      <c r="E21" s="31"/>
      <c r="F21" s="177">
        <v>0</v>
      </c>
      <c r="G21" s="178"/>
      <c r="H21" s="177">
        <v>0</v>
      </c>
      <c r="I21" s="178"/>
      <c r="J21" s="177">
        <v>0</v>
      </c>
      <c r="K21" s="178"/>
      <c r="L21" s="177">
        <v>0</v>
      </c>
      <c r="M21" s="178"/>
      <c r="N21" s="178">
        <f t="shared" si="0"/>
        <v>0</v>
      </c>
    </row>
    <row r="22" spans="1:14" ht="11.85" customHeight="1" x14ac:dyDescent="0.25">
      <c r="A22" s="314">
        <v>126</v>
      </c>
      <c r="B22" s="315" t="s">
        <v>704</v>
      </c>
      <c r="D22" s="177">
        <v>0</v>
      </c>
      <c r="E22" s="31"/>
      <c r="F22" s="177">
        <v>0</v>
      </c>
      <c r="G22" s="178"/>
      <c r="H22" s="177">
        <v>0</v>
      </c>
      <c r="I22" s="178"/>
      <c r="J22" s="177">
        <v>0</v>
      </c>
      <c r="K22" s="178"/>
      <c r="L22" s="177">
        <v>0</v>
      </c>
      <c r="M22" s="178"/>
      <c r="N22" s="178">
        <f t="shared" ref="N22" si="1">D22+F22+H22+J22+L22</f>
        <v>0</v>
      </c>
    </row>
    <row r="23" spans="1:14" ht="11.85" customHeight="1" x14ac:dyDescent="0.25">
      <c r="A23" s="32">
        <v>128</v>
      </c>
      <c r="B23" s="31" t="s">
        <v>62</v>
      </c>
      <c r="D23" s="177">
        <v>0</v>
      </c>
      <c r="E23" s="31" t="s">
        <v>287</v>
      </c>
      <c r="F23" s="177">
        <v>0</v>
      </c>
      <c r="G23" s="178"/>
      <c r="H23" s="177">
        <v>0</v>
      </c>
      <c r="I23" s="178">
        <v>0</v>
      </c>
      <c r="J23" s="177">
        <v>0</v>
      </c>
      <c r="K23" s="178"/>
      <c r="L23" s="177">
        <v>0</v>
      </c>
      <c r="M23" s="178"/>
      <c r="N23" s="178">
        <f t="shared" si="0"/>
        <v>0</v>
      </c>
    </row>
    <row r="24" spans="1:14" ht="11.85" customHeight="1" x14ac:dyDescent="0.25">
      <c r="A24" s="32">
        <v>120</v>
      </c>
      <c r="B24" s="31" t="s">
        <v>63</v>
      </c>
      <c r="D24" s="177">
        <v>0</v>
      </c>
      <c r="E24" s="31"/>
      <c r="F24" s="177">
        <v>0</v>
      </c>
      <c r="G24" s="178"/>
      <c r="H24" s="177">
        <v>0</v>
      </c>
      <c r="I24" s="178"/>
      <c r="J24" s="177">
        <v>0</v>
      </c>
      <c r="K24" s="178"/>
      <c r="L24" s="177">
        <v>0</v>
      </c>
      <c r="M24" s="178"/>
      <c r="N24" s="178">
        <f t="shared" si="0"/>
        <v>0</v>
      </c>
    </row>
    <row r="25" spans="1:14" ht="11.85" customHeight="1" x14ac:dyDescent="0.25">
      <c r="A25" s="32">
        <v>105</v>
      </c>
      <c r="B25" s="31" t="s">
        <v>64</v>
      </c>
      <c r="D25" s="177">
        <v>0</v>
      </c>
      <c r="E25" s="31"/>
      <c r="F25" s="177">
        <v>0</v>
      </c>
      <c r="G25" s="178"/>
      <c r="H25" s="177">
        <v>0</v>
      </c>
      <c r="I25" s="178"/>
      <c r="J25" s="177">
        <v>0</v>
      </c>
      <c r="K25" s="178"/>
      <c r="L25" s="177">
        <v>0</v>
      </c>
      <c r="M25" s="178"/>
      <c r="N25" s="178">
        <f t="shared" si="0"/>
        <v>0</v>
      </c>
    </row>
    <row r="26" spans="1:14" ht="11.85" customHeight="1" x14ac:dyDescent="0.25">
      <c r="A26" s="33" t="s">
        <v>49</v>
      </c>
      <c r="B26" s="31" t="s">
        <v>65</v>
      </c>
      <c r="D26" s="179">
        <v>0</v>
      </c>
      <c r="E26" s="31"/>
      <c r="F26" s="179">
        <v>0</v>
      </c>
      <c r="G26" s="178"/>
      <c r="H26" s="179">
        <v>0</v>
      </c>
      <c r="I26" s="178"/>
      <c r="J26" s="179">
        <v>0</v>
      </c>
      <c r="K26" s="178"/>
      <c r="L26" s="179">
        <v>0</v>
      </c>
      <c r="M26" s="178"/>
      <c r="N26" s="180">
        <f t="shared" si="0"/>
        <v>0</v>
      </c>
    </row>
    <row r="27" spans="1:14" ht="12.9" customHeight="1" x14ac:dyDescent="0.25">
      <c r="A27" s="31"/>
      <c r="B27" s="130" t="s">
        <v>66</v>
      </c>
      <c r="D27" s="181">
        <f>SUM(D9:D26)</f>
        <v>0</v>
      </c>
      <c r="E27" s="31"/>
      <c r="F27" s="181">
        <f>SUM(F9:F26)</f>
        <v>0</v>
      </c>
      <c r="G27" s="178"/>
      <c r="H27" s="181">
        <f>SUM(H9:H26)</f>
        <v>0</v>
      </c>
      <c r="I27" s="178"/>
      <c r="J27" s="181">
        <f>SUM(J9:J26)</f>
        <v>0</v>
      </c>
      <c r="K27" s="178"/>
      <c r="L27" s="181">
        <f>SUM(L9:L26)</f>
        <v>0</v>
      </c>
      <c r="M27" s="178"/>
      <c r="N27" s="181">
        <f t="shared" si="0"/>
        <v>0</v>
      </c>
    </row>
    <row r="28" spans="1:14" ht="3.9" customHeight="1" x14ac:dyDescent="0.25">
      <c r="A28" s="31"/>
      <c r="B28" s="130"/>
      <c r="D28" s="178"/>
      <c r="E28" s="31"/>
      <c r="F28" s="178"/>
      <c r="G28" s="178"/>
      <c r="H28" s="178"/>
      <c r="I28" s="178"/>
      <c r="J28" s="178"/>
      <c r="K28" s="178"/>
      <c r="L28" s="178"/>
      <c r="M28" s="178"/>
      <c r="N28" s="178"/>
    </row>
    <row r="29" spans="1:14" x14ac:dyDescent="0.25">
      <c r="A29" s="31"/>
      <c r="B29" s="131" t="s">
        <v>67</v>
      </c>
      <c r="D29" s="31"/>
      <c r="E29" s="31"/>
      <c r="F29" s="31"/>
      <c r="G29" s="31"/>
      <c r="H29" s="31"/>
      <c r="I29" s="31"/>
      <c r="J29" s="31"/>
      <c r="K29" s="31"/>
      <c r="L29" s="31"/>
      <c r="M29" s="31"/>
      <c r="N29" s="31"/>
    </row>
    <row r="30" spans="1:14" ht="11.85" customHeight="1" x14ac:dyDescent="0.25">
      <c r="A30" s="32">
        <v>200</v>
      </c>
      <c r="B30" s="31" t="s">
        <v>68</v>
      </c>
      <c r="D30" s="177">
        <v>0</v>
      </c>
      <c r="E30" s="31"/>
      <c r="F30" s="177">
        <v>0</v>
      </c>
      <c r="G30" s="178"/>
      <c r="H30" s="177">
        <v>0</v>
      </c>
      <c r="I30" s="178"/>
      <c r="J30" s="177">
        <v>0</v>
      </c>
      <c r="K30" s="178"/>
      <c r="L30" s="177">
        <v>0</v>
      </c>
      <c r="M30" s="178"/>
      <c r="N30" s="178">
        <f t="shared" ref="N30:N45" si="2">D30+F30+H30+J30+L30</f>
        <v>0</v>
      </c>
    </row>
    <row r="31" spans="1:14" ht="11.85" customHeight="1" x14ac:dyDescent="0.25">
      <c r="A31" s="314">
        <v>201</v>
      </c>
      <c r="B31" s="315" t="s">
        <v>708</v>
      </c>
      <c r="D31" s="177">
        <v>0</v>
      </c>
      <c r="E31" s="31"/>
      <c r="F31" s="177">
        <v>0</v>
      </c>
      <c r="G31" s="178"/>
      <c r="H31" s="177">
        <v>0</v>
      </c>
      <c r="I31" s="178"/>
      <c r="J31" s="177">
        <v>0</v>
      </c>
      <c r="K31" s="178"/>
      <c r="L31" s="177">
        <v>0</v>
      </c>
      <c r="M31" s="178"/>
      <c r="N31" s="178">
        <f t="shared" si="2"/>
        <v>0</v>
      </c>
    </row>
    <row r="32" spans="1:14" ht="11.85" customHeight="1" x14ac:dyDescent="0.25">
      <c r="A32" s="32">
        <v>202</v>
      </c>
      <c r="B32" s="31" t="s">
        <v>69</v>
      </c>
      <c r="D32" s="177">
        <v>0</v>
      </c>
      <c r="E32" s="31"/>
      <c r="F32" s="177">
        <v>0</v>
      </c>
      <c r="G32" s="178"/>
      <c r="H32" s="177">
        <v>0</v>
      </c>
      <c r="I32" s="178"/>
      <c r="J32" s="177">
        <v>0</v>
      </c>
      <c r="K32" s="178"/>
      <c r="L32" s="177">
        <v>0</v>
      </c>
      <c r="M32" s="178"/>
      <c r="N32" s="178">
        <f t="shared" si="2"/>
        <v>0</v>
      </c>
    </row>
    <row r="33" spans="1:14" ht="11.85" customHeight="1" x14ac:dyDescent="0.25">
      <c r="A33" s="32">
        <v>203</v>
      </c>
      <c r="B33" s="31" t="s">
        <v>70</v>
      </c>
      <c r="D33" s="177">
        <v>0</v>
      </c>
      <c r="E33" s="31"/>
      <c r="F33" s="177">
        <v>0</v>
      </c>
      <c r="G33" s="178"/>
      <c r="H33" s="177">
        <v>0</v>
      </c>
      <c r="I33" s="178"/>
      <c r="J33" s="177">
        <v>0</v>
      </c>
      <c r="K33" s="178"/>
      <c r="L33" s="177">
        <v>0</v>
      </c>
      <c r="M33" s="178"/>
      <c r="N33" s="178">
        <f t="shared" si="2"/>
        <v>0</v>
      </c>
    </row>
    <row r="34" spans="1:14" ht="11.85" customHeight="1" x14ac:dyDescent="0.25">
      <c r="A34" s="32">
        <v>205</v>
      </c>
      <c r="B34" s="31" t="s">
        <v>71</v>
      </c>
      <c r="D34" s="177">
        <v>0</v>
      </c>
      <c r="E34" s="31"/>
      <c r="F34" s="177">
        <v>0</v>
      </c>
      <c r="G34" s="178"/>
      <c r="H34" s="177">
        <v>0</v>
      </c>
      <c r="I34" s="178"/>
      <c r="J34" s="177">
        <v>0</v>
      </c>
      <c r="K34" s="178"/>
      <c r="L34" s="177">
        <v>0</v>
      </c>
      <c r="M34" s="178"/>
      <c r="N34" s="178">
        <f>D34+F34+H34+J34+L34</f>
        <v>0</v>
      </c>
    </row>
    <row r="35" spans="1:14" ht="11.85" customHeight="1" x14ac:dyDescent="0.25">
      <c r="A35" s="32">
        <v>210</v>
      </c>
      <c r="B35" s="31" t="s">
        <v>72</v>
      </c>
      <c r="D35" s="177">
        <v>0</v>
      </c>
      <c r="E35" s="31"/>
      <c r="F35" s="177">
        <v>0</v>
      </c>
      <c r="G35" s="178"/>
      <c r="H35" s="177">
        <v>0</v>
      </c>
      <c r="I35" s="178"/>
      <c r="J35" s="177">
        <v>0</v>
      </c>
      <c r="K35" s="178"/>
      <c r="L35" s="177">
        <v>0</v>
      </c>
      <c r="M35" s="178"/>
      <c r="N35" s="178">
        <f t="shared" si="2"/>
        <v>0</v>
      </c>
    </row>
    <row r="36" spans="1:14" ht="11.85" customHeight="1" x14ac:dyDescent="0.25">
      <c r="A36" s="32">
        <v>215</v>
      </c>
      <c r="B36" s="31" t="s">
        <v>73</v>
      </c>
      <c r="D36" s="177">
        <v>0</v>
      </c>
      <c r="E36" s="31"/>
      <c r="F36" s="177">
        <v>0</v>
      </c>
      <c r="G36" s="178"/>
      <c r="H36" s="177">
        <v>0</v>
      </c>
      <c r="I36" s="178"/>
      <c r="J36" s="177">
        <v>0</v>
      </c>
      <c r="K36" s="178"/>
      <c r="L36" s="177">
        <v>0</v>
      </c>
      <c r="M36" s="178"/>
      <c r="N36" s="178">
        <f t="shared" si="2"/>
        <v>0</v>
      </c>
    </row>
    <row r="37" spans="1:14" ht="11.85" customHeight="1" x14ac:dyDescent="0.25">
      <c r="A37" s="32">
        <v>220</v>
      </c>
      <c r="B37" s="31" t="s">
        <v>74</v>
      </c>
      <c r="D37" s="177">
        <v>0</v>
      </c>
      <c r="E37" s="31"/>
      <c r="F37" s="177">
        <v>0</v>
      </c>
      <c r="G37" s="178"/>
      <c r="H37" s="177">
        <v>0</v>
      </c>
      <c r="I37" s="178"/>
      <c r="J37" s="177">
        <v>0</v>
      </c>
      <c r="K37" s="178"/>
      <c r="L37" s="177">
        <v>0</v>
      </c>
      <c r="M37" s="178"/>
      <c r="N37" s="178">
        <f t="shared" si="2"/>
        <v>0</v>
      </c>
    </row>
    <row r="38" spans="1:14" ht="11.85" customHeight="1" x14ac:dyDescent="0.25">
      <c r="A38" s="32">
        <v>200</v>
      </c>
      <c r="B38" s="31" t="s">
        <v>75</v>
      </c>
      <c r="D38" s="177">
        <v>0</v>
      </c>
      <c r="E38" s="31"/>
      <c r="F38" s="177">
        <v>0</v>
      </c>
      <c r="G38" s="178"/>
      <c r="H38" s="177">
        <v>0</v>
      </c>
      <c r="I38" s="178"/>
      <c r="J38" s="177">
        <v>0</v>
      </c>
      <c r="K38" s="178"/>
      <c r="L38" s="177">
        <v>0</v>
      </c>
      <c r="M38" s="178"/>
      <c r="N38" s="178">
        <f t="shared" si="2"/>
        <v>0</v>
      </c>
    </row>
    <row r="39" spans="1:14" ht="11.85" customHeight="1" x14ac:dyDescent="0.25">
      <c r="A39" s="33" t="s">
        <v>49</v>
      </c>
      <c r="B39" s="31" t="s">
        <v>76</v>
      </c>
      <c r="D39" s="177">
        <v>0</v>
      </c>
      <c r="E39" s="31"/>
      <c r="F39" s="177">
        <v>0</v>
      </c>
      <c r="G39" s="178"/>
      <c r="H39" s="177">
        <v>0</v>
      </c>
      <c r="I39" s="178"/>
      <c r="J39" s="177">
        <v>0</v>
      </c>
      <c r="K39" s="178"/>
      <c r="L39" s="177">
        <v>0</v>
      </c>
      <c r="M39" s="178"/>
      <c r="N39" s="178">
        <f t="shared" si="2"/>
        <v>0</v>
      </c>
    </row>
    <row r="40" spans="1:14" ht="11.85" customHeight="1" x14ac:dyDescent="0.25">
      <c r="A40" s="33" t="s">
        <v>49</v>
      </c>
      <c r="B40" s="31" t="s">
        <v>77</v>
      </c>
      <c r="D40" s="177">
        <v>0</v>
      </c>
      <c r="E40" s="31"/>
      <c r="F40" s="177">
        <v>0</v>
      </c>
      <c r="G40" s="178"/>
      <c r="H40" s="177">
        <v>0</v>
      </c>
      <c r="I40" s="178"/>
      <c r="J40" s="177">
        <v>0</v>
      </c>
      <c r="K40" s="178"/>
      <c r="L40" s="177">
        <v>0</v>
      </c>
      <c r="M40" s="178"/>
      <c r="N40" s="178">
        <f t="shared" si="2"/>
        <v>0</v>
      </c>
    </row>
    <row r="41" spans="1:14" ht="11.85" customHeight="1" x14ac:dyDescent="0.25">
      <c r="A41" s="33" t="s">
        <v>49</v>
      </c>
      <c r="B41" s="31" t="s">
        <v>78</v>
      </c>
      <c r="D41" s="177">
        <v>0</v>
      </c>
      <c r="E41" s="31"/>
      <c r="F41" s="177">
        <v>0</v>
      </c>
      <c r="G41" s="178"/>
      <c r="H41" s="177">
        <v>0</v>
      </c>
      <c r="I41" s="178"/>
      <c r="J41" s="177">
        <v>0</v>
      </c>
      <c r="K41" s="178"/>
      <c r="L41" s="177">
        <v>0</v>
      </c>
      <c r="M41" s="178"/>
      <c r="N41" s="178">
        <f t="shared" si="2"/>
        <v>0</v>
      </c>
    </row>
    <row r="42" spans="1:14" ht="11.85" customHeight="1" x14ac:dyDescent="0.25">
      <c r="A42" s="33" t="s">
        <v>49</v>
      </c>
      <c r="B42" s="197" t="s">
        <v>79</v>
      </c>
      <c r="D42" s="177">
        <v>0</v>
      </c>
      <c r="E42" s="31"/>
      <c r="F42" s="177">
        <v>0</v>
      </c>
      <c r="G42" s="178"/>
      <c r="H42" s="177">
        <v>0</v>
      </c>
      <c r="I42" s="178"/>
      <c r="J42" s="177">
        <v>0</v>
      </c>
      <c r="K42" s="178"/>
      <c r="L42" s="177">
        <v>0</v>
      </c>
      <c r="M42" s="178"/>
      <c r="N42" s="178">
        <f t="shared" ref="N42" si="3">D42+F42+H42+J42+L42</f>
        <v>0</v>
      </c>
    </row>
    <row r="43" spans="1:14" ht="11.85" customHeight="1" x14ac:dyDescent="0.25">
      <c r="A43" s="33" t="s">
        <v>49</v>
      </c>
      <c r="B43" s="31" t="s">
        <v>80</v>
      </c>
      <c r="D43" s="177">
        <v>0</v>
      </c>
      <c r="E43" s="31"/>
      <c r="F43" s="177">
        <v>0</v>
      </c>
      <c r="G43" s="178"/>
      <c r="H43" s="177">
        <v>0</v>
      </c>
      <c r="I43" s="178"/>
      <c r="J43" s="177">
        <v>0</v>
      </c>
      <c r="K43" s="178"/>
      <c r="L43" s="177">
        <v>0</v>
      </c>
      <c r="M43" s="178"/>
      <c r="N43" s="178">
        <f t="shared" si="2"/>
        <v>0</v>
      </c>
    </row>
    <row r="44" spans="1:14" ht="11.85" customHeight="1" x14ac:dyDescent="0.25">
      <c r="A44" s="33" t="s">
        <v>49</v>
      </c>
      <c r="B44" s="31" t="s">
        <v>81</v>
      </c>
      <c r="D44" s="179">
        <v>0</v>
      </c>
      <c r="E44" s="31"/>
      <c r="F44" s="179">
        <v>0</v>
      </c>
      <c r="G44" s="178"/>
      <c r="H44" s="179">
        <v>0</v>
      </c>
      <c r="I44" s="178"/>
      <c r="J44" s="179">
        <v>0</v>
      </c>
      <c r="K44" s="178"/>
      <c r="L44" s="179">
        <v>0</v>
      </c>
      <c r="M44" s="178"/>
      <c r="N44" s="180">
        <f t="shared" si="2"/>
        <v>0</v>
      </c>
    </row>
    <row r="45" spans="1:14" ht="12.9" customHeight="1" x14ac:dyDescent="0.25">
      <c r="A45" s="31"/>
      <c r="B45" s="130" t="s">
        <v>82</v>
      </c>
      <c r="D45" s="181">
        <f>SUM(D30:D44)</f>
        <v>0</v>
      </c>
      <c r="E45" s="31"/>
      <c r="F45" s="181">
        <f>SUM(F30:F44)</f>
        <v>0</v>
      </c>
      <c r="G45" s="178"/>
      <c r="H45" s="181">
        <f>SUM(H30:H44)</f>
        <v>0</v>
      </c>
      <c r="I45" s="178"/>
      <c r="J45" s="181">
        <f>SUM(J30:J44)</f>
        <v>0</v>
      </c>
      <c r="K45" s="178"/>
      <c r="L45" s="181">
        <f>SUM(L30:L44)</f>
        <v>0</v>
      </c>
      <c r="M45" s="178"/>
      <c r="N45" s="181">
        <f t="shared" si="2"/>
        <v>0</v>
      </c>
    </row>
    <row r="46" spans="1:14" ht="3.9" customHeight="1" x14ac:dyDescent="0.25">
      <c r="A46" s="31"/>
      <c r="B46" s="130"/>
      <c r="D46" s="178"/>
      <c r="E46" s="31"/>
      <c r="F46" s="178"/>
      <c r="G46" s="178"/>
      <c r="H46" s="178"/>
      <c r="I46" s="178"/>
      <c r="J46" s="178"/>
      <c r="K46" s="178"/>
      <c r="L46" s="178"/>
      <c r="M46" s="178"/>
      <c r="N46" s="178"/>
    </row>
    <row r="47" spans="1:14" x14ac:dyDescent="0.25">
      <c r="A47" s="31"/>
      <c r="B47" s="131" t="s">
        <v>83</v>
      </c>
      <c r="D47" s="31"/>
      <c r="E47" s="31"/>
      <c r="F47" s="31"/>
      <c r="G47" s="31"/>
      <c r="H47" s="31"/>
      <c r="I47" s="31"/>
      <c r="J47" s="31"/>
      <c r="K47" s="31"/>
      <c r="L47" s="31"/>
      <c r="M47" s="31"/>
      <c r="N47" s="31"/>
    </row>
    <row r="48" spans="1:14" ht="2.25" customHeight="1" x14ac:dyDescent="0.25">
      <c r="A48" s="31"/>
      <c r="B48" s="31"/>
      <c r="D48" s="177">
        <v>0</v>
      </c>
      <c r="E48" s="31"/>
      <c r="F48" s="177">
        <v>0</v>
      </c>
      <c r="G48" s="178"/>
      <c r="H48" s="177">
        <v>0</v>
      </c>
      <c r="I48" s="178"/>
      <c r="J48" s="177">
        <v>0</v>
      </c>
      <c r="K48" s="178"/>
      <c r="L48" s="177">
        <v>0</v>
      </c>
      <c r="M48" s="178"/>
      <c r="N48" s="178">
        <f>D48+F48+H48+J48+L48</f>
        <v>0</v>
      </c>
    </row>
    <row r="49" spans="1:15" ht="11.85" customHeight="1" x14ac:dyDescent="0.25">
      <c r="A49" s="31"/>
      <c r="B49" s="31" t="s">
        <v>84</v>
      </c>
      <c r="D49" s="177">
        <v>0</v>
      </c>
      <c r="E49" s="31"/>
      <c r="F49" s="177">
        <v>0</v>
      </c>
      <c r="G49" s="178"/>
      <c r="H49" s="177">
        <v>0</v>
      </c>
      <c r="I49" s="178"/>
      <c r="J49" s="177">
        <v>0</v>
      </c>
      <c r="K49" s="178"/>
      <c r="L49" s="177">
        <v>0</v>
      </c>
      <c r="M49" s="178"/>
      <c r="N49" s="178">
        <f>D49+F49+H49+J49+L49</f>
        <v>0</v>
      </c>
      <c r="O49" s="1"/>
    </row>
    <row r="50" spans="1:15" ht="11.85" customHeight="1" x14ac:dyDescent="0.25">
      <c r="A50" s="31"/>
      <c r="B50" s="31" t="s">
        <v>85</v>
      </c>
      <c r="D50" s="179">
        <v>0</v>
      </c>
      <c r="E50" s="31"/>
      <c r="F50" s="179">
        <v>0</v>
      </c>
      <c r="G50" s="178"/>
      <c r="H50" s="179">
        <v>0</v>
      </c>
      <c r="I50" s="178"/>
      <c r="J50" s="179">
        <v>0</v>
      </c>
      <c r="K50" s="178"/>
      <c r="L50" s="179">
        <v>0</v>
      </c>
      <c r="M50" s="178"/>
      <c r="N50" s="178">
        <f>D50+F50+H50+J50+L50</f>
        <v>0</v>
      </c>
      <c r="O50" s="1"/>
    </row>
    <row r="51" spans="1:15" ht="13.65" customHeight="1" thickBot="1" x14ac:dyDescent="0.3">
      <c r="A51" s="31"/>
      <c r="B51" s="130" t="s">
        <v>86</v>
      </c>
      <c r="D51" s="182">
        <f>SUM(D48:D50)</f>
        <v>0</v>
      </c>
      <c r="E51" s="31"/>
      <c r="F51" s="182">
        <f>SUM(F48:F50)</f>
        <v>0</v>
      </c>
      <c r="G51" s="176"/>
      <c r="H51" s="182">
        <f>SUM(H48:H50)</f>
        <v>0</v>
      </c>
      <c r="I51" s="176"/>
      <c r="J51" s="182">
        <f>SUM(J48:J50)</f>
        <v>0</v>
      </c>
      <c r="K51" s="176"/>
      <c r="L51" s="182">
        <f>SUM(L48:L50)</f>
        <v>0</v>
      </c>
      <c r="M51" s="176"/>
      <c r="N51" s="182">
        <f>D51+F51+H51+J51+L51</f>
        <v>0</v>
      </c>
    </row>
    <row r="52" spans="1:15" ht="6" customHeight="1" thickTop="1" x14ac:dyDescent="0.25">
      <c r="A52" s="31"/>
      <c r="B52" s="130"/>
      <c r="D52" s="176"/>
      <c r="E52" s="31"/>
      <c r="F52" s="176"/>
      <c r="G52" s="176"/>
      <c r="H52" s="176"/>
      <c r="I52" s="176"/>
      <c r="J52" s="176"/>
      <c r="K52" s="176"/>
      <c r="L52" s="176"/>
      <c r="M52" s="176"/>
      <c r="N52" s="176"/>
    </row>
    <row r="53" spans="1:15" x14ac:dyDescent="0.25">
      <c r="A53" s="31"/>
      <c r="B53" s="55" t="s">
        <v>87</v>
      </c>
      <c r="D53" s="70" t="str">
        <f>IF(D27-D45=D51,"OK","ERROR")</f>
        <v>OK</v>
      </c>
      <c r="E53" s="31"/>
      <c r="F53" s="70" t="str">
        <f>IF(F27-F45=F51,"OK","ERROR")</f>
        <v>OK</v>
      </c>
      <c r="G53" s="31"/>
      <c r="H53" s="70" t="str">
        <f>IF(H27-H45=H51,"OK","ERROR")</f>
        <v>OK</v>
      </c>
      <c r="I53" s="31"/>
      <c r="J53" s="70" t="str">
        <f>IF(J27-J45=J51,"OK","ERROR")</f>
        <v>OK</v>
      </c>
      <c r="K53" s="31"/>
      <c r="L53" s="70" t="str">
        <f>IF(L27-L45=L51,"OK","ERROR")</f>
        <v>OK</v>
      </c>
      <c r="M53" s="31"/>
      <c r="N53" s="70"/>
    </row>
    <row r="55" spans="1:15" x14ac:dyDescent="0.25">
      <c r="A55" s="24" t="s">
        <v>88</v>
      </c>
    </row>
    <row r="57" spans="1:15" x14ac:dyDescent="0.25">
      <c r="A57" s="36" t="s">
        <v>89</v>
      </c>
      <c r="B57" s="171" t="s">
        <v>90</v>
      </c>
    </row>
    <row r="58" spans="1:15" x14ac:dyDescent="0.25">
      <c r="A58" s="26"/>
      <c r="B58" s="171" t="s">
        <v>91</v>
      </c>
    </row>
    <row r="59" spans="1:15" x14ac:dyDescent="0.25">
      <c r="A59" s="26"/>
      <c r="B59" s="171"/>
    </row>
    <row r="60" spans="1:15" x14ac:dyDescent="0.25">
      <c r="A60" s="36" t="s">
        <v>92</v>
      </c>
      <c r="B60" s="171" t="s">
        <v>93</v>
      </c>
    </row>
    <row r="61" spans="1:15" x14ac:dyDescent="0.25">
      <c r="A61" s="26"/>
      <c r="B61" t="s">
        <v>94</v>
      </c>
    </row>
    <row r="62" spans="1:15" x14ac:dyDescent="0.25">
      <c r="A62" s="26"/>
      <c r="B62" t="s">
        <v>95</v>
      </c>
    </row>
    <row r="63" spans="1:15" x14ac:dyDescent="0.25">
      <c r="A63" s="26"/>
      <c r="B63" s="171"/>
    </row>
    <row r="64" spans="1:15" x14ac:dyDescent="0.25">
      <c r="A64" s="36" t="s">
        <v>96</v>
      </c>
      <c r="B64" s="171" t="s">
        <v>97</v>
      </c>
    </row>
    <row r="65" spans="1:2" x14ac:dyDescent="0.25">
      <c r="A65" s="26"/>
      <c r="B65" s="171" t="s">
        <v>98</v>
      </c>
    </row>
    <row r="66" spans="1:2" x14ac:dyDescent="0.25">
      <c r="A66" s="26"/>
      <c r="B66" s="171" t="s">
        <v>99</v>
      </c>
    </row>
    <row r="67" spans="1:2" x14ac:dyDescent="0.25">
      <c r="A67" s="26"/>
      <c r="B67" s="171" t="s">
        <v>100</v>
      </c>
    </row>
    <row r="68" spans="1:2" x14ac:dyDescent="0.25">
      <c r="A68" s="26"/>
      <c r="B68" s="171" t="s">
        <v>101</v>
      </c>
    </row>
    <row r="69" spans="1:2" x14ac:dyDescent="0.25">
      <c r="A69" s="26"/>
      <c r="B69" s="171"/>
    </row>
    <row r="70" spans="1:2" x14ac:dyDescent="0.25">
      <c r="A70" s="26"/>
      <c r="B70" s="171"/>
    </row>
    <row r="71" spans="1:2" x14ac:dyDescent="0.25">
      <c r="A71" s="36" t="s">
        <v>49</v>
      </c>
      <c r="B71" s="171" t="s">
        <v>102</v>
      </c>
    </row>
    <row r="74" spans="1:2" x14ac:dyDescent="0.25">
      <c r="B74" s="171"/>
    </row>
    <row r="75" spans="1:2" x14ac:dyDescent="0.25">
      <c r="B75" s="171"/>
    </row>
    <row r="76" spans="1:2" x14ac:dyDescent="0.25">
      <c r="B76" s="171"/>
    </row>
    <row r="77" spans="1:2" x14ac:dyDescent="0.25">
      <c r="B77" s="171"/>
    </row>
  </sheetData>
  <sheetProtection algorithmName="SHA-512" hashValue="UJKXYav7OG/twKJuDAlCXCNO8cpguwkFMAqOiDfKM8yvOJ6ZwvoPKAZQNxmN2KPOXqOkxHMgv4RU8Jdeefrqyg==" saltValue="pEPfKy4+uAamh6LioIOosw==" spinCount="100000" sheet="1" autoFilter="0"/>
  <mergeCells count="5">
    <mergeCell ref="H5:H7"/>
    <mergeCell ref="J5:J7"/>
    <mergeCell ref="L5:L7"/>
    <mergeCell ref="D5:D7"/>
    <mergeCell ref="F5:F7"/>
  </mergeCells>
  <phoneticPr fontId="0" type="noConversion"/>
  <conditionalFormatting sqref="D53 F53 H53 J53 L53 N53">
    <cfRule type="cellIs" dxfId="67" priority="1" stopIfTrue="1" operator="equal">
      <formula>"ERROR"</formula>
    </cfRule>
  </conditionalFormatting>
  <pageMargins left="0.3" right="0.3" top="0.3" bottom="0.3" header="0.5" footer="0.2"/>
  <pageSetup orientation="landscape" r:id="rId1"/>
  <headerFooter alignWithMargins="0">
    <oddFooter>&amp;L&amp;F &amp;A&amp;C&amp;P of &amp;N&amp;R&amp;D</oddFooter>
  </headerFooter>
  <rowBreaks count="1" manualBreakCount="1">
    <brk id="5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6"/>
  <sheetViews>
    <sheetView workbookViewId="0">
      <selection activeCell="F22" sqref="F22"/>
    </sheetView>
  </sheetViews>
  <sheetFormatPr defaultRowHeight="13.2" x14ac:dyDescent="0.25"/>
  <cols>
    <col min="1" max="1" width="3.6640625" customWidth="1"/>
    <col min="2" max="2" width="44.6640625" customWidth="1"/>
    <col min="3" max="3" width="0.44140625" customWidth="1"/>
    <col min="4" max="4" width="13.6640625" customWidth="1"/>
    <col min="5" max="5" width="0.88671875" customWidth="1"/>
    <col min="6" max="6" width="13.6640625" customWidth="1"/>
    <col min="7" max="7" width="0.88671875" customWidth="1"/>
    <col min="8" max="8" width="12.6640625" customWidth="1"/>
    <col min="9" max="9" width="0.88671875" customWidth="1"/>
    <col min="10" max="10" width="12.6640625" customWidth="1"/>
    <col min="11" max="11" width="0.88671875" customWidth="1"/>
    <col min="12" max="12" width="12.6640625" customWidth="1"/>
    <col min="13" max="13" width="0.88671875" customWidth="1"/>
    <col min="14" max="14" width="13.6640625" customWidth="1"/>
  </cols>
  <sheetData>
    <row r="1" spans="1:14" ht="12.75" customHeight="1" x14ac:dyDescent="0.25">
      <c r="A1" s="1" t="e">
        <f>CONCATENATE(Info!D7," Foundations")</f>
        <v>#N/A</v>
      </c>
      <c r="N1" s="30" t="s">
        <v>103</v>
      </c>
    </row>
    <row r="2" spans="1:14" ht="12.75" customHeight="1" x14ac:dyDescent="0.25">
      <c r="A2" s="1" t="s">
        <v>104</v>
      </c>
    </row>
    <row r="3" spans="1:14" ht="12.75" customHeight="1" x14ac:dyDescent="0.25">
      <c r="A3" s="210" t="str">
        <f>' Use Stmt'!A4</f>
        <v>For the Year Ended June 30, 2025</v>
      </c>
    </row>
    <row r="4" spans="1:14" ht="12.75" customHeight="1" x14ac:dyDescent="0.25">
      <c r="B4" s="5"/>
    </row>
    <row r="5" spans="1:14" ht="12.75" customHeight="1" x14ac:dyDescent="0.25">
      <c r="D5" s="354">
        <f>Info!$D$17</f>
        <v>0</v>
      </c>
      <c r="F5" s="354">
        <f>Info!$D$19</f>
        <v>0</v>
      </c>
      <c r="H5" s="354">
        <f>Info!$D$21</f>
        <v>0</v>
      </c>
      <c r="J5" s="354">
        <f>Info!$D$23</f>
        <v>0</v>
      </c>
      <c r="L5" s="354">
        <f>Info!$D$25</f>
        <v>0</v>
      </c>
    </row>
    <row r="6" spans="1:14" x14ac:dyDescent="0.25">
      <c r="D6" s="354"/>
      <c r="F6" s="354"/>
      <c r="G6" s="26"/>
      <c r="H6" s="354"/>
      <c r="I6" s="26"/>
      <c r="J6" s="354"/>
      <c r="K6" s="26"/>
      <c r="L6" s="354"/>
      <c r="M6" s="26"/>
      <c r="N6" s="26"/>
    </row>
    <row r="7" spans="1:14" x14ac:dyDescent="0.25">
      <c r="D7" s="355"/>
      <c r="F7" s="355"/>
      <c r="G7" s="279"/>
      <c r="H7" s="355"/>
      <c r="I7" s="279"/>
      <c r="J7" s="355"/>
      <c r="K7" s="26"/>
      <c r="L7" s="355"/>
      <c r="M7" s="279"/>
      <c r="N7" s="4" t="s">
        <v>46</v>
      </c>
    </row>
    <row r="8" spans="1:14" ht="15.6" x14ac:dyDescent="0.25">
      <c r="B8" s="1" t="s">
        <v>105</v>
      </c>
    </row>
    <row r="9" spans="1:14" x14ac:dyDescent="0.25">
      <c r="A9" s="33" t="s">
        <v>49</v>
      </c>
      <c r="B9" t="s">
        <v>106</v>
      </c>
      <c r="D9" s="47">
        <v>0</v>
      </c>
      <c r="F9" s="47">
        <v>0</v>
      </c>
      <c r="G9" s="9"/>
      <c r="H9" s="47">
        <v>0</v>
      </c>
      <c r="I9" s="9"/>
      <c r="J9" s="47">
        <v>0</v>
      </c>
      <c r="K9" s="9"/>
      <c r="L9" s="47">
        <v>0</v>
      </c>
      <c r="M9" s="9"/>
      <c r="N9" s="9">
        <f>D9+F9+H9+J9+L9</f>
        <v>0</v>
      </c>
    </row>
    <row r="10" spans="1:14" x14ac:dyDescent="0.25">
      <c r="A10" s="32">
        <v>500</v>
      </c>
      <c r="B10" t="s">
        <v>107</v>
      </c>
      <c r="D10" s="48">
        <v>0</v>
      </c>
      <c r="F10" s="48">
        <v>0</v>
      </c>
      <c r="G10" s="9"/>
      <c r="H10" s="48">
        <v>0</v>
      </c>
      <c r="I10" s="9"/>
      <c r="J10" s="48">
        <v>0</v>
      </c>
      <c r="K10" s="9"/>
      <c r="L10" s="48">
        <v>0</v>
      </c>
      <c r="M10" s="9"/>
      <c r="N10" s="6">
        <f>D10+F10+H10+J10+L10</f>
        <v>0</v>
      </c>
    </row>
    <row r="11" spans="1:14" x14ac:dyDescent="0.25">
      <c r="A11" s="32">
        <v>500</v>
      </c>
      <c r="B11" t="s">
        <v>108</v>
      </c>
      <c r="D11" s="48">
        <v>0</v>
      </c>
      <c r="F11" s="48">
        <v>0</v>
      </c>
      <c r="G11" s="9"/>
      <c r="H11" s="48">
        <v>0</v>
      </c>
      <c r="I11" s="9"/>
      <c r="J11" s="48">
        <v>0</v>
      </c>
      <c r="K11" s="9"/>
      <c r="L11" s="48">
        <v>0</v>
      </c>
      <c r="M11" s="9"/>
      <c r="N11" s="6">
        <f>D11+F11+H11+J11+L11</f>
        <v>0</v>
      </c>
    </row>
    <row r="12" spans="1:14" x14ac:dyDescent="0.25">
      <c r="A12" s="32">
        <v>530</v>
      </c>
      <c r="B12" t="s">
        <v>109</v>
      </c>
      <c r="D12" s="48">
        <v>0</v>
      </c>
      <c r="F12" s="48">
        <v>0</v>
      </c>
      <c r="G12" s="6"/>
      <c r="H12" s="48">
        <v>0</v>
      </c>
      <c r="I12" s="6"/>
      <c r="J12" s="48">
        <v>0</v>
      </c>
      <c r="K12" s="6"/>
      <c r="L12" s="48">
        <v>0</v>
      </c>
      <c r="M12" s="6"/>
      <c r="N12" s="6">
        <f>D12+F12+H12+J12+L12</f>
        <v>0</v>
      </c>
    </row>
    <row r="13" spans="1:14" x14ac:dyDescent="0.25">
      <c r="A13" s="32">
        <v>530</v>
      </c>
      <c r="B13" t="s">
        <v>110</v>
      </c>
      <c r="D13" s="48">
        <v>0</v>
      </c>
      <c r="F13" s="48">
        <v>0</v>
      </c>
      <c r="G13" s="6"/>
      <c r="H13" s="48">
        <v>0</v>
      </c>
      <c r="I13" s="6"/>
      <c r="J13" s="48">
        <v>0</v>
      </c>
      <c r="K13" s="6"/>
      <c r="L13" s="48">
        <v>0</v>
      </c>
      <c r="M13" s="6"/>
      <c r="N13" s="6">
        <f t="shared" ref="N13:N18" si="0">D13+F13+H13+J13+L13</f>
        <v>0</v>
      </c>
    </row>
    <row r="14" spans="1:14" x14ac:dyDescent="0.25">
      <c r="A14" s="32">
        <v>540</v>
      </c>
      <c r="B14" t="s">
        <v>111</v>
      </c>
      <c r="D14" s="48">
        <v>0</v>
      </c>
      <c r="F14" s="48">
        <v>0</v>
      </c>
      <c r="G14" s="6"/>
      <c r="H14" s="48">
        <v>0</v>
      </c>
      <c r="I14" s="6"/>
      <c r="J14" s="48">
        <v>0</v>
      </c>
      <c r="K14" s="6"/>
      <c r="L14" s="48">
        <v>0</v>
      </c>
      <c r="M14" s="6"/>
      <c r="N14" s="6">
        <f t="shared" si="0"/>
        <v>0</v>
      </c>
    </row>
    <row r="15" spans="1:14" x14ac:dyDescent="0.25">
      <c r="A15" s="32">
        <v>550</v>
      </c>
      <c r="B15" t="s">
        <v>112</v>
      </c>
      <c r="D15" s="48">
        <v>0</v>
      </c>
      <c r="F15" s="48">
        <v>0</v>
      </c>
      <c r="G15" s="6"/>
      <c r="H15" s="48">
        <v>0</v>
      </c>
      <c r="I15" s="6"/>
      <c r="J15" s="48">
        <v>0</v>
      </c>
      <c r="K15" s="6"/>
      <c r="L15" s="48">
        <v>0</v>
      </c>
      <c r="M15" s="6"/>
      <c r="N15" s="6">
        <f t="shared" si="0"/>
        <v>0</v>
      </c>
    </row>
    <row r="16" spans="1:14" x14ac:dyDescent="0.25">
      <c r="A16" s="32">
        <v>555</v>
      </c>
      <c r="B16" t="s">
        <v>113</v>
      </c>
      <c r="D16" s="48">
        <v>0</v>
      </c>
      <c r="F16" s="48">
        <v>0</v>
      </c>
      <c r="G16" s="6"/>
      <c r="H16" s="48">
        <v>0</v>
      </c>
      <c r="I16" s="6"/>
      <c r="J16" s="48">
        <v>0</v>
      </c>
      <c r="K16" s="6"/>
      <c r="L16" s="48">
        <v>0</v>
      </c>
      <c r="M16" s="6"/>
      <c r="N16" s="6">
        <f t="shared" si="0"/>
        <v>0</v>
      </c>
    </row>
    <row r="17" spans="1:15" x14ac:dyDescent="0.25">
      <c r="A17" s="32">
        <v>560</v>
      </c>
      <c r="B17" t="s">
        <v>114</v>
      </c>
      <c r="D17" s="49">
        <v>0</v>
      </c>
      <c r="F17" s="49">
        <v>0</v>
      </c>
      <c r="G17" s="6"/>
      <c r="H17" s="49">
        <v>0</v>
      </c>
      <c r="I17" s="6"/>
      <c r="J17" s="49">
        <v>0</v>
      </c>
      <c r="K17" s="6"/>
      <c r="L17" s="49">
        <v>0</v>
      </c>
      <c r="M17" s="6"/>
      <c r="N17" s="7">
        <f t="shared" si="0"/>
        <v>0</v>
      </c>
    </row>
    <row r="18" spans="1:15" x14ac:dyDescent="0.25">
      <c r="A18" s="26"/>
      <c r="B18" s="2" t="s">
        <v>115</v>
      </c>
      <c r="D18" s="8">
        <f>SUM(D9:D17)</f>
        <v>0</v>
      </c>
      <c r="F18" s="8">
        <f>SUM(F9:F17)</f>
        <v>0</v>
      </c>
      <c r="G18" s="6"/>
      <c r="H18" s="8">
        <f>SUM(H9:H17)</f>
        <v>0</v>
      </c>
      <c r="I18" s="6"/>
      <c r="J18" s="8">
        <f>SUM(J9:J17)</f>
        <v>0</v>
      </c>
      <c r="K18" s="6"/>
      <c r="L18" s="8">
        <f>SUM(L9:L17)</f>
        <v>0</v>
      </c>
      <c r="M18" s="6"/>
      <c r="N18" s="8">
        <f t="shared" si="0"/>
        <v>0</v>
      </c>
    </row>
    <row r="19" spans="1:15" x14ac:dyDescent="0.25">
      <c r="A19" s="26"/>
    </row>
    <row r="20" spans="1:15" ht="15.6" x14ac:dyDescent="0.25">
      <c r="A20" s="26"/>
      <c r="B20" s="1" t="s">
        <v>116</v>
      </c>
    </row>
    <row r="21" spans="1:15" x14ac:dyDescent="0.25">
      <c r="A21" s="32" t="s">
        <v>49</v>
      </c>
      <c r="B21" s="171" t="s">
        <v>117</v>
      </c>
      <c r="D21" s="50">
        <v>0</v>
      </c>
      <c r="F21" s="50">
        <v>0</v>
      </c>
      <c r="G21" s="12"/>
      <c r="H21" s="50">
        <v>0</v>
      </c>
      <c r="I21" s="12"/>
      <c r="J21" s="50">
        <v>0</v>
      </c>
      <c r="K21" s="12"/>
      <c r="L21" s="50">
        <v>0</v>
      </c>
      <c r="M21" s="12"/>
      <c r="N21" s="6">
        <f>D21+F21+H21+J21+L21</f>
        <v>0</v>
      </c>
    </row>
    <row r="22" spans="1:15" x14ac:dyDescent="0.25">
      <c r="A22" s="32">
        <v>610</v>
      </c>
      <c r="B22" t="s">
        <v>118</v>
      </c>
      <c r="D22" s="51">
        <v>0</v>
      </c>
      <c r="E22" s="6"/>
      <c r="F22" s="51">
        <v>0</v>
      </c>
      <c r="G22" s="12"/>
      <c r="H22" s="51">
        <v>0</v>
      </c>
      <c r="I22" s="12"/>
      <c r="J22" s="51">
        <v>0</v>
      </c>
      <c r="K22" s="12"/>
      <c r="L22" s="51">
        <v>0</v>
      </c>
      <c r="M22" s="12"/>
      <c r="N22" s="7">
        <f>D22+F22+H22+J22+L22</f>
        <v>0</v>
      </c>
    </row>
    <row r="23" spans="1:15" x14ac:dyDescent="0.25">
      <c r="B23" s="2" t="s">
        <v>119</v>
      </c>
      <c r="D23" s="20">
        <f>SUM(D21:D22)</f>
        <v>0</v>
      </c>
      <c r="E23" s="6"/>
      <c r="F23" s="20">
        <f>SUM(F21:F22)</f>
        <v>0</v>
      </c>
      <c r="G23" s="12"/>
      <c r="H23" s="20">
        <f>SUM(H21:H22)</f>
        <v>0</v>
      </c>
      <c r="I23" s="12"/>
      <c r="J23" s="20">
        <f>SUM(J21:J22)</f>
        <v>0</v>
      </c>
      <c r="K23" s="12"/>
      <c r="L23" s="20">
        <f>SUM(L21:L22)</f>
        <v>0</v>
      </c>
      <c r="M23" s="12"/>
      <c r="N23" s="8">
        <f>D23+F23+H23+J23+L23</f>
        <v>0</v>
      </c>
    </row>
    <row r="24" spans="1:15" ht="9.9" customHeight="1" x14ac:dyDescent="0.25"/>
    <row r="25" spans="1:15" x14ac:dyDescent="0.25">
      <c r="B25" t="s">
        <v>120</v>
      </c>
      <c r="D25" s="12">
        <f>D18-D23</f>
        <v>0</v>
      </c>
      <c r="F25" s="12">
        <f>F18-F23</f>
        <v>0</v>
      </c>
      <c r="G25" s="12"/>
      <c r="H25" s="12">
        <f>H18-H23</f>
        <v>0</v>
      </c>
      <c r="I25" s="12"/>
      <c r="J25" s="12">
        <f>J18-J23</f>
        <v>0</v>
      </c>
      <c r="K25" s="12"/>
      <c r="L25" s="12">
        <f>L18-L23</f>
        <v>0</v>
      </c>
      <c r="M25" s="12"/>
      <c r="N25" s="6">
        <f>D25+F25+H25+J25+L25</f>
        <v>0</v>
      </c>
    </row>
    <row r="26" spans="1:15" ht="9.9" customHeight="1" x14ac:dyDescent="0.25"/>
    <row r="27" spans="1:15" x14ac:dyDescent="0.25">
      <c r="B27" t="s">
        <v>121</v>
      </c>
      <c r="D27" s="50">
        <v>0</v>
      </c>
      <c r="F27" s="50">
        <v>0</v>
      </c>
      <c r="G27" s="12"/>
      <c r="H27" s="50">
        <v>0</v>
      </c>
      <c r="I27" s="12"/>
      <c r="J27" s="50">
        <v>0</v>
      </c>
      <c r="K27" s="12"/>
      <c r="L27" s="50">
        <v>0</v>
      </c>
      <c r="M27" s="12"/>
      <c r="N27" s="60">
        <f>VLOOKUP(Info!D6,'Net Assets'!A1:C96,3,FALSE)</f>
        <v>0</v>
      </c>
      <c r="O27" s="183" t="str">
        <f>IF((D27+F27+H27+J27+L27=N27),"OK","Problem - Must equal the total prior year ending per Foundation template")</f>
        <v>OK</v>
      </c>
    </row>
    <row r="28" spans="1:15" x14ac:dyDescent="0.25">
      <c r="B28" t="s">
        <v>122</v>
      </c>
      <c r="D28" s="51"/>
      <c r="F28" s="51"/>
      <c r="G28" s="12"/>
      <c r="H28" s="51"/>
      <c r="I28" s="12"/>
      <c r="J28" s="51"/>
      <c r="K28" s="12"/>
      <c r="L28" s="51"/>
      <c r="M28" s="12"/>
      <c r="N28" s="7">
        <f>D28+F28+H28+J28+L28</f>
        <v>0</v>
      </c>
    </row>
    <row r="29" spans="1:15" ht="14.85" customHeight="1" thickBot="1" x14ac:dyDescent="0.3">
      <c r="B29" t="s">
        <v>123</v>
      </c>
      <c r="D29" s="11">
        <f>D25+D27+D28</f>
        <v>0</v>
      </c>
      <c r="F29" s="11">
        <f>F25+F27+F28</f>
        <v>0</v>
      </c>
      <c r="G29" s="27"/>
      <c r="H29" s="11">
        <f>H25+H27+H28</f>
        <v>0</v>
      </c>
      <c r="I29" s="27"/>
      <c r="J29" s="11">
        <f>J25+J27+J28</f>
        <v>0</v>
      </c>
      <c r="K29" s="27"/>
      <c r="L29" s="11">
        <f>L25+L27+L28</f>
        <v>0</v>
      </c>
      <c r="M29" s="27"/>
      <c r="N29" s="11">
        <f>D29+F29+H29+J29+L29</f>
        <v>0</v>
      </c>
    </row>
    <row r="30" spans="1:15" ht="6" customHeight="1" thickTop="1" x14ac:dyDescent="0.25"/>
    <row r="31" spans="1:15" ht="12.75" customHeight="1" x14ac:dyDescent="0.25">
      <c r="B31" s="22" t="s">
        <v>124</v>
      </c>
      <c r="D31" s="34" t="str">
        <f>IF(D29='Exh A'!D51,"OK","ERROR")</f>
        <v>OK</v>
      </c>
      <c r="F31" s="34" t="str">
        <f>IF(F29='Exh A'!F51,"OK","ERROR")</f>
        <v>OK</v>
      </c>
      <c r="H31" s="34" t="str">
        <f>IF(H29='Exh A'!H51,"OK","ERROR")</f>
        <v>OK</v>
      </c>
      <c r="J31" s="34" t="str">
        <f>IF(J29='Exh A'!J51,"OK","ERROR")</f>
        <v>OK</v>
      </c>
      <c r="L31" s="34" t="str">
        <f>IF(L29='Exh A'!L51,"OK","ERROR")</f>
        <v>OK</v>
      </c>
    </row>
    <row r="32" spans="1:15" ht="9.9" customHeight="1" x14ac:dyDescent="0.25"/>
    <row r="33" spans="1:8" x14ac:dyDescent="0.25">
      <c r="A33" s="24" t="s">
        <v>125</v>
      </c>
    </row>
    <row r="34" spans="1:8" ht="6.9" customHeight="1" x14ac:dyDescent="0.25"/>
    <row r="35" spans="1:8" x14ac:dyDescent="0.25">
      <c r="A35" s="36" t="s">
        <v>89</v>
      </c>
      <c r="B35" s="171" t="s">
        <v>126</v>
      </c>
      <c r="C35" s="22"/>
      <c r="D35" s="22"/>
      <c r="E35" s="22"/>
      <c r="F35" s="22"/>
      <c r="G35" s="22"/>
      <c r="H35" s="22"/>
    </row>
    <row r="36" spans="1:8" x14ac:dyDescent="0.25">
      <c r="A36" s="26"/>
      <c r="B36" s="171" t="s">
        <v>127</v>
      </c>
      <c r="C36" s="22"/>
      <c r="D36" s="22"/>
      <c r="E36" s="22"/>
      <c r="F36" s="22"/>
      <c r="G36" s="22"/>
      <c r="H36" s="22"/>
    </row>
    <row r="37" spans="1:8" x14ac:dyDescent="0.25">
      <c r="A37" s="26"/>
      <c r="B37" s="171" t="s">
        <v>128</v>
      </c>
      <c r="C37" s="22"/>
      <c r="D37" s="22"/>
      <c r="E37" s="22"/>
      <c r="F37" s="22"/>
      <c r="G37" s="22"/>
      <c r="H37" s="22"/>
    </row>
    <row r="38" spans="1:8" ht="6.9" customHeight="1" x14ac:dyDescent="0.25">
      <c r="A38" s="26"/>
      <c r="B38" s="171"/>
      <c r="C38" s="22"/>
      <c r="D38" s="22"/>
      <c r="E38" s="22"/>
      <c r="F38" s="22"/>
      <c r="G38" s="22"/>
      <c r="H38" s="22"/>
    </row>
    <row r="39" spans="1:8" x14ac:dyDescent="0.25">
      <c r="A39" s="36" t="s">
        <v>92</v>
      </c>
      <c r="B39" s="171" t="s">
        <v>129</v>
      </c>
    </row>
    <row r="40" spans="1:8" x14ac:dyDescent="0.25">
      <c r="A40" s="26"/>
      <c r="B40" s="171" t="s">
        <v>130</v>
      </c>
    </row>
    <row r="41" spans="1:8" ht="7.5" customHeight="1" x14ac:dyDescent="0.25">
      <c r="A41" s="26"/>
      <c r="B41" s="171"/>
    </row>
    <row r="42" spans="1:8" x14ac:dyDescent="0.25">
      <c r="A42" s="36" t="s">
        <v>96</v>
      </c>
      <c r="B42" t="s">
        <v>131</v>
      </c>
    </row>
    <row r="43" spans="1:8" x14ac:dyDescent="0.25">
      <c r="A43" s="26"/>
      <c r="B43" t="s">
        <v>132</v>
      </c>
    </row>
    <row r="44" spans="1:8" x14ac:dyDescent="0.25">
      <c r="A44" s="26"/>
      <c r="B44" t="s">
        <v>133</v>
      </c>
    </row>
    <row r="45" spans="1:8" ht="6.9" customHeight="1" x14ac:dyDescent="0.25">
      <c r="A45" s="26"/>
      <c r="B45" s="171"/>
    </row>
    <row r="46" spans="1:8" x14ac:dyDescent="0.25">
      <c r="A46" s="36" t="s">
        <v>49</v>
      </c>
      <c r="B46" s="171" t="s">
        <v>102</v>
      </c>
    </row>
  </sheetData>
  <sheetProtection algorithmName="SHA-512" hashValue="Oluk0cLQc5D4jMqIUCIv3HSKcAlAKNSem0XO8H69kyQb/tT7cFbJ8ejsRQ8ZvxOYgP94Z3e3ISkcr0gIgyOxLg==" saltValue="0tmQh+v6Iqk3R4lxc6W95A==" spinCount="100000" sheet="1" autoFilter="0"/>
  <mergeCells count="5">
    <mergeCell ref="L5:L7"/>
    <mergeCell ref="D5:D7"/>
    <mergeCell ref="F5:F7"/>
    <mergeCell ref="H5:H7"/>
    <mergeCell ref="J5:J7"/>
  </mergeCells>
  <phoneticPr fontId="0" type="noConversion"/>
  <conditionalFormatting sqref="D31 F31 H31 J31 L31">
    <cfRule type="cellIs" dxfId="66" priority="1" stopIfTrue="1" operator="equal">
      <formula>"ERROR"</formula>
    </cfRule>
  </conditionalFormatting>
  <pageMargins left="0.25" right="0.25" top="0.45" bottom="0.45" header="0.5" footer="0.2"/>
  <pageSetup orientation="landscape" r:id="rId1"/>
  <headerFooter alignWithMargins="0">
    <oddFooter>&amp;L&amp;F &amp;A&amp;C&amp;P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61"/>
  <sheetViews>
    <sheetView workbookViewId="0">
      <selection activeCell="F15" sqref="F15"/>
    </sheetView>
  </sheetViews>
  <sheetFormatPr defaultRowHeight="13.2" x14ac:dyDescent="0.25"/>
  <cols>
    <col min="1" max="1" width="3.6640625" customWidth="1"/>
    <col min="2" max="2" width="46.6640625" customWidth="1"/>
    <col min="3" max="3" width="0.6640625" customWidth="1"/>
    <col min="4" max="4" width="13.44140625" customWidth="1"/>
    <col min="5" max="5" width="0.6640625" customWidth="1"/>
    <col min="6" max="6" width="13.44140625" customWidth="1"/>
    <col min="7" max="7" width="0.6640625" customWidth="1"/>
    <col min="8" max="8" width="12.6640625" customWidth="1"/>
    <col min="9" max="9" width="0.6640625" customWidth="1"/>
    <col min="10" max="10" width="12.6640625" customWidth="1"/>
    <col min="11" max="11" width="0.6640625" customWidth="1"/>
    <col min="12" max="12" width="12.6640625" customWidth="1"/>
    <col min="13" max="13" width="0.6640625" customWidth="1"/>
    <col min="14" max="14" width="13.44140625" customWidth="1"/>
    <col min="16" max="16" width="14" customWidth="1"/>
  </cols>
  <sheetData>
    <row r="1" spans="1:14" x14ac:dyDescent="0.25">
      <c r="A1" s="1" t="e">
        <f>CONCATENATE(Info!D7," Foundations")</f>
        <v>#N/A</v>
      </c>
      <c r="N1" s="30" t="s">
        <v>134</v>
      </c>
    </row>
    <row r="2" spans="1:14" x14ac:dyDescent="0.25">
      <c r="A2" s="1" t="s">
        <v>135</v>
      </c>
    </row>
    <row r="3" spans="1:14" x14ac:dyDescent="0.25">
      <c r="A3" s="209" t="str">
        <f>' Use Stmt'!A4</f>
        <v>For the Year Ended June 30, 2025</v>
      </c>
    </row>
    <row r="4" spans="1:14" x14ac:dyDescent="0.25">
      <c r="D4" s="354">
        <f>Info!$D$17</f>
        <v>0</v>
      </c>
      <c r="F4" s="354">
        <f>Info!$D$19</f>
        <v>0</v>
      </c>
      <c r="H4" s="354">
        <f>Info!$D$21</f>
        <v>0</v>
      </c>
      <c r="J4" s="354">
        <f>Info!$D$23</f>
        <v>0</v>
      </c>
      <c r="L4" s="354">
        <f>Info!$D$25</f>
        <v>0</v>
      </c>
    </row>
    <row r="5" spans="1:14" x14ac:dyDescent="0.25">
      <c r="D5" s="354"/>
      <c r="F5" s="354"/>
      <c r="G5" s="26"/>
      <c r="H5" s="354"/>
      <c r="I5" s="26"/>
      <c r="J5" s="354"/>
      <c r="K5" s="26"/>
      <c r="L5" s="354"/>
      <c r="M5" s="26"/>
      <c r="N5" s="26"/>
    </row>
    <row r="6" spans="1:14" ht="19.5" customHeight="1" x14ac:dyDescent="0.25">
      <c r="D6" s="355"/>
      <c r="F6" s="355"/>
      <c r="G6" s="279"/>
      <c r="H6" s="355"/>
      <c r="I6" s="279"/>
      <c r="J6" s="355"/>
      <c r="K6" s="26"/>
      <c r="L6" s="355"/>
      <c r="M6" s="279"/>
      <c r="N6" s="4" t="s">
        <v>46</v>
      </c>
    </row>
    <row r="7" spans="1:14" ht="15.6" x14ac:dyDescent="0.25">
      <c r="A7" s="358" t="s">
        <v>136</v>
      </c>
      <c r="B7" s="358"/>
      <c r="D7" s="26"/>
      <c r="F7" s="26"/>
      <c r="G7" s="279"/>
      <c r="H7" s="26"/>
      <c r="I7" s="279"/>
      <c r="J7" s="26"/>
      <c r="K7" s="26"/>
      <c r="L7" s="26"/>
      <c r="M7" s="279"/>
      <c r="N7" s="26"/>
    </row>
    <row r="8" spans="1:14" x14ac:dyDescent="0.25">
      <c r="D8" s="26"/>
      <c r="F8" s="26"/>
      <c r="G8" s="279"/>
      <c r="H8" s="26"/>
      <c r="I8" s="279"/>
      <c r="J8" s="26"/>
      <c r="K8" s="26"/>
      <c r="L8" s="26"/>
      <c r="M8" s="279"/>
      <c r="N8" s="26"/>
    </row>
    <row r="9" spans="1:14" x14ac:dyDescent="0.25">
      <c r="B9" s="1" t="s">
        <v>50</v>
      </c>
      <c r="D9" s="26"/>
      <c r="F9" s="26"/>
      <c r="G9" s="279"/>
      <c r="H9" s="26"/>
      <c r="I9" s="279"/>
      <c r="J9" s="26"/>
      <c r="K9" s="26"/>
      <c r="L9" s="26"/>
      <c r="M9" s="279"/>
      <c r="N9" s="26"/>
    </row>
    <row r="10" spans="1:14" x14ac:dyDescent="0.25">
      <c r="A10" s="32">
        <v>130</v>
      </c>
      <c r="B10" s="3" t="s">
        <v>137</v>
      </c>
      <c r="D10" s="48">
        <v>0</v>
      </c>
      <c r="F10" s="48">
        <v>0</v>
      </c>
      <c r="G10" s="279"/>
      <c r="H10" s="48">
        <v>0</v>
      </c>
      <c r="I10" s="279"/>
      <c r="J10" s="48">
        <v>0</v>
      </c>
      <c r="K10" s="26"/>
      <c r="L10" s="48">
        <v>0</v>
      </c>
      <c r="M10" s="279"/>
      <c r="N10" s="6">
        <f>D10+F10+H10+J10+L10</f>
        <v>0</v>
      </c>
    </row>
    <row r="11" spans="1:14" x14ac:dyDescent="0.25">
      <c r="A11" s="32">
        <v>105</v>
      </c>
      <c r="B11" s="3" t="s">
        <v>138</v>
      </c>
      <c r="D11" s="48">
        <v>0</v>
      </c>
      <c r="F11" s="48">
        <v>0</v>
      </c>
      <c r="G11" s="279"/>
      <c r="H11" s="48">
        <v>0</v>
      </c>
      <c r="I11" s="279"/>
      <c r="J11" s="48">
        <v>0</v>
      </c>
      <c r="K11" s="26"/>
      <c r="L11" s="48">
        <v>0</v>
      </c>
      <c r="M11" s="279"/>
      <c r="N11" s="7">
        <f>D11+F11+H11+J11+L11</f>
        <v>0</v>
      </c>
    </row>
    <row r="12" spans="1:14" x14ac:dyDescent="0.25">
      <c r="B12" s="23" t="s">
        <v>46</v>
      </c>
      <c r="D12" s="35">
        <f>SUM(D10:D11)</f>
        <v>0</v>
      </c>
      <c r="F12" s="35">
        <f>SUM(F10:F11)</f>
        <v>0</v>
      </c>
      <c r="G12" s="279"/>
      <c r="H12" s="35">
        <f>SUM(H10:H11)</f>
        <v>0</v>
      </c>
      <c r="I12" s="279"/>
      <c r="J12" s="35">
        <f>SUM(J10:J11)</f>
        <v>0</v>
      </c>
      <c r="K12" s="26"/>
      <c r="L12" s="35">
        <f>SUM(L10:L11)</f>
        <v>0</v>
      </c>
      <c r="M12" s="279"/>
      <c r="N12" s="8">
        <f>D12+F12+H12+J12+L12</f>
        <v>0</v>
      </c>
    </row>
    <row r="13" spans="1:14" x14ac:dyDescent="0.25">
      <c r="B13" s="22" t="s">
        <v>139</v>
      </c>
      <c r="D13" s="42" t="str">
        <f>IF(D12='Exh A'!D10,"OK","ERROR")</f>
        <v>OK</v>
      </c>
      <c r="F13" s="42" t="str">
        <f>IF(F12='Exh A'!F10,"OK","ERROR")</f>
        <v>OK</v>
      </c>
      <c r="G13" s="279"/>
      <c r="H13" s="42" t="str">
        <f>IF(H12='Exh A'!H10,"OK","ERROR")</f>
        <v>OK</v>
      </c>
      <c r="I13" s="279"/>
      <c r="J13" s="42" t="str">
        <f>IF(J12='Exh A'!J10,"OK","ERROR")</f>
        <v>OK</v>
      </c>
      <c r="K13" s="26"/>
      <c r="L13" s="42" t="str">
        <f>IF(L12='Exh A'!L10,"OK","ERROR")</f>
        <v>OK</v>
      </c>
      <c r="M13" s="279"/>
      <c r="N13" s="26"/>
    </row>
    <row r="14" spans="1:14" x14ac:dyDescent="0.25">
      <c r="D14" s="26"/>
      <c r="F14" s="26"/>
      <c r="G14" s="279"/>
      <c r="H14" s="26"/>
      <c r="I14" s="279"/>
      <c r="J14" s="26"/>
      <c r="K14" s="26"/>
      <c r="L14" s="26"/>
      <c r="M14" s="279"/>
      <c r="N14" s="26"/>
    </row>
    <row r="15" spans="1:14" ht="15.6" x14ac:dyDescent="0.25">
      <c r="B15" s="1" t="s">
        <v>140</v>
      </c>
      <c r="D15" s="26"/>
      <c r="F15" s="26"/>
      <c r="G15" s="279"/>
      <c r="H15" s="26"/>
      <c r="I15" s="279"/>
      <c r="J15" s="26"/>
      <c r="K15" s="26"/>
      <c r="L15" s="26"/>
      <c r="M15" s="279"/>
      <c r="N15" s="26"/>
    </row>
    <row r="16" spans="1:14" x14ac:dyDescent="0.25">
      <c r="A16" s="32">
        <v>140</v>
      </c>
      <c r="B16" s="3" t="s">
        <v>141</v>
      </c>
      <c r="D16" s="48">
        <v>0</v>
      </c>
      <c r="F16" s="48">
        <v>0</v>
      </c>
      <c r="G16" s="279"/>
      <c r="H16" s="48">
        <v>0</v>
      </c>
      <c r="I16" s="279"/>
      <c r="J16" s="48">
        <v>0</v>
      </c>
      <c r="K16" s="26"/>
      <c r="L16" s="48">
        <v>0</v>
      </c>
      <c r="M16" s="279"/>
      <c r="N16" s="6">
        <f>D16+F16+H16+J16+L16</f>
        <v>0</v>
      </c>
    </row>
    <row r="17" spans="1:14" x14ac:dyDescent="0.25">
      <c r="A17" s="32">
        <v>145</v>
      </c>
      <c r="B17" s="3" t="s">
        <v>142</v>
      </c>
      <c r="D17" s="48">
        <v>0</v>
      </c>
      <c r="F17" s="48">
        <v>0</v>
      </c>
      <c r="G17" s="279"/>
      <c r="H17" s="48">
        <v>0</v>
      </c>
      <c r="I17" s="279"/>
      <c r="J17" s="48">
        <v>0</v>
      </c>
      <c r="K17" s="26"/>
      <c r="L17" s="48">
        <v>0</v>
      </c>
      <c r="M17" s="279"/>
      <c r="N17" s="6">
        <f>D17+F17+H17+J17+L17</f>
        <v>0</v>
      </c>
    </row>
    <row r="18" spans="1:14" x14ac:dyDescent="0.25">
      <c r="A18" s="32">
        <v>140</v>
      </c>
      <c r="B18" s="3" t="s">
        <v>143</v>
      </c>
      <c r="D18" s="48">
        <v>0</v>
      </c>
      <c r="F18" s="48">
        <v>0</v>
      </c>
      <c r="G18" s="279"/>
      <c r="H18" s="48">
        <v>0</v>
      </c>
      <c r="I18" s="279"/>
      <c r="J18" s="48">
        <v>0</v>
      </c>
      <c r="K18" s="26"/>
      <c r="L18" s="48">
        <v>0</v>
      </c>
      <c r="M18" s="279"/>
      <c r="N18" s="6">
        <f>D18+F18+H18+J18+L18</f>
        <v>0</v>
      </c>
    </row>
    <row r="19" spans="1:14" x14ac:dyDescent="0.25">
      <c r="A19" s="32">
        <v>145</v>
      </c>
      <c r="B19" s="3" t="s">
        <v>144</v>
      </c>
      <c r="D19" s="49">
        <v>0</v>
      </c>
      <c r="F19" s="49">
        <v>0</v>
      </c>
      <c r="G19" s="279"/>
      <c r="H19" s="49">
        <v>0</v>
      </c>
      <c r="I19" s="279"/>
      <c r="J19" s="49">
        <v>0</v>
      </c>
      <c r="K19" s="26"/>
      <c r="L19" s="49">
        <v>0</v>
      </c>
      <c r="M19" s="279"/>
      <c r="N19" s="7">
        <f>D19+F19+H19+J19+L19</f>
        <v>0</v>
      </c>
    </row>
    <row r="20" spans="1:14" x14ac:dyDescent="0.25">
      <c r="A20" s="32"/>
      <c r="B20" s="23" t="s">
        <v>46</v>
      </c>
      <c r="D20" s="35">
        <f>SUM(D16:D19)</f>
        <v>0</v>
      </c>
      <c r="F20" s="35">
        <f>SUM(F16:F19)</f>
        <v>0</v>
      </c>
      <c r="G20" s="279"/>
      <c r="H20" s="35">
        <f>SUM(H16:H19)</f>
        <v>0</v>
      </c>
      <c r="I20" s="279"/>
      <c r="J20" s="35">
        <f>SUM(J16:J19)</f>
        <v>0</v>
      </c>
      <c r="K20" s="26"/>
      <c r="L20" s="35">
        <f>SUM(L16:L19)</f>
        <v>0</v>
      </c>
      <c r="M20" s="279"/>
      <c r="N20" s="8">
        <f>D20+F20+H20+J20+L20</f>
        <v>0</v>
      </c>
    </row>
    <row r="21" spans="1:14" x14ac:dyDescent="0.25">
      <c r="A21" s="32"/>
      <c r="B21" s="22" t="s">
        <v>139</v>
      </c>
      <c r="D21" s="42" t="str">
        <f>IF(D20='Exh A'!D26,"OK","ERROR")</f>
        <v>OK</v>
      </c>
      <c r="E21" s="43"/>
      <c r="F21" s="42" t="str">
        <f>IF(F20='Exh A'!F26,"OK","ERROR")</f>
        <v>OK</v>
      </c>
      <c r="G21" s="44"/>
      <c r="H21" s="42" t="str">
        <f>IF(H20='Exh A'!H26,"OK","ERROR")</f>
        <v>OK</v>
      </c>
      <c r="I21" s="44"/>
      <c r="J21" s="42" t="str">
        <f>IF(J20='Exh A'!J26,"OK","ERROR")</f>
        <v>OK</v>
      </c>
      <c r="K21" s="44"/>
      <c r="L21" s="42" t="str">
        <f>IF(L20='Exh A'!L26,"OK","ERROR")</f>
        <v>OK</v>
      </c>
      <c r="M21" s="279"/>
      <c r="N21" s="26"/>
    </row>
    <row r="22" spans="1:14" x14ac:dyDescent="0.25">
      <c r="A22" s="32"/>
      <c r="B22" s="22"/>
      <c r="D22" s="26"/>
      <c r="F22" s="26"/>
      <c r="G22" s="279"/>
      <c r="H22" s="26"/>
      <c r="I22" s="279"/>
      <c r="J22" s="26"/>
      <c r="K22" s="26"/>
      <c r="L22" s="26"/>
      <c r="M22" s="279"/>
      <c r="N22" s="26"/>
    </row>
    <row r="23" spans="1:14" x14ac:dyDescent="0.25">
      <c r="A23" s="32"/>
      <c r="B23" s="1" t="s">
        <v>76</v>
      </c>
    </row>
    <row r="24" spans="1:14" x14ac:dyDescent="0.25">
      <c r="A24" s="32">
        <v>260</v>
      </c>
      <c r="B24" s="3" t="s">
        <v>145</v>
      </c>
      <c r="D24" s="50">
        <v>0</v>
      </c>
      <c r="F24" s="50">
        <v>0</v>
      </c>
      <c r="G24" s="12"/>
      <c r="H24" s="50">
        <v>0</v>
      </c>
      <c r="I24" s="12"/>
      <c r="J24" s="50">
        <v>0</v>
      </c>
      <c r="K24" s="12"/>
      <c r="L24" s="50">
        <v>0</v>
      </c>
      <c r="N24" s="6">
        <f>D24+F24+H24+J24+L24</f>
        <v>0</v>
      </c>
    </row>
    <row r="25" spans="1:14" x14ac:dyDescent="0.25">
      <c r="A25" s="32">
        <v>261</v>
      </c>
      <c r="B25" s="3" t="s">
        <v>146</v>
      </c>
      <c r="D25" s="51">
        <v>0</v>
      </c>
      <c r="F25" s="51">
        <v>0</v>
      </c>
      <c r="G25" s="12"/>
      <c r="H25" s="51">
        <v>0</v>
      </c>
      <c r="I25" s="12"/>
      <c r="J25" s="51">
        <v>0</v>
      </c>
      <c r="K25" s="12"/>
      <c r="L25" s="51">
        <v>0</v>
      </c>
      <c r="N25" s="7">
        <f>D25+F25+H25+J25+L25</f>
        <v>0</v>
      </c>
    </row>
    <row r="26" spans="1:14" x14ac:dyDescent="0.25">
      <c r="A26" s="32"/>
      <c r="B26" s="23" t="s">
        <v>46</v>
      </c>
      <c r="D26" s="10">
        <f>SUM(D24:D25)</f>
        <v>0</v>
      </c>
      <c r="F26" s="10">
        <f>SUM(F24:F25)</f>
        <v>0</v>
      </c>
      <c r="G26" s="12"/>
      <c r="H26" s="10">
        <f>SUM(H24:H25)</f>
        <v>0</v>
      </c>
      <c r="I26" s="12"/>
      <c r="J26" s="10">
        <f>SUM(J24:J25)</f>
        <v>0</v>
      </c>
      <c r="K26" s="12"/>
      <c r="L26" s="10">
        <f>SUM(L24:L25)</f>
        <v>0</v>
      </c>
      <c r="N26" s="8">
        <f>D26+F26+H26+J26+L26</f>
        <v>0</v>
      </c>
    </row>
    <row r="27" spans="1:14" x14ac:dyDescent="0.25">
      <c r="A27" s="32"/>
      <c r="B27" s="22" t="s">
        <v>139</v>
      </c>
      <c r="D27" s="42" t="str">
        <f>IF(D26='Exh A'!D39,"OK","ERROR")</f>
        <v>OK</v>
      </c>
      <c r="F27" s="42" t="str">
        <f>IF(F26='Exh A'!F39,"OK","ERROR")</f>
        <v>OK</v>
      </c>
      <c r="H27" s="42" t="str">
        <f>IF(H26='Exh A'!H39,"OK","ERROR")</f>
        <v>OK</v>
      </c>
      <c r="J27" s="42" t="str">
        <f>IF(J26='Exh A'!J39,"OK","ERROR")</f>
        <v>OK</v>
      </c>
      <c r="L27" s="42" t="str">
        <f>IF(L26='Exh A'!L39,"OK","ERROR")</f>
        <v>OK</v>
      </c>
    </row>
    <row r="28" spans="1:14" x14ac:dyDescent="0.25">
      <c r="A28" s="32"/>
      <c r="B28" s="22"/>
      <c r="D28" s="26"/>
      <c r="F28" s="26"/>
      <c r="G28" s="279"/>
      <c r="H28" s="26"/>
      <c r="I28" s="279"/>
      <c r="J28" s="26"/>
      <c r="K28" s="26"/>
      <c r="L28" s="26"/>
      <c r="M28" s="279"/>
      <c r="N28" s="26"/>
    </row>
    <row r="29" spans="1:14" x14ac:dyDescent="0.25">
      <c r="A29" s="32"/>
      <c r="B29" s="1" t="s">
        <v>77</v>
      </c>
    </row>
    <row r="30" spans="1:14" x14ac:dyDescent="0.25">
      <c r="A30" s="32">
        <v>260</v>
      </c>
      <c r="B30" s="3" t="s">
        <v>145</v>
      </c>
      <c r="D30" s="50">
        <v>0</v>
      </c>
      <c r="F30" s="50">
        <v>0</v>
      </c>
      <c r="G30" s="12"/>
      <c r="H30" s="50">
        <v>0</v>
      </c>
      <c r="I30" s="12"/>
      <c r="J30" s="50">
        <v>0</v>
      </c>
      <c r="K30" s="12"/>
      <c r="L30" s="50">
        <v>0</v>
      </c>
      <c r="N30" s="6">
        <f>D30+F30+H30+J30+L30</f>
        <v>0</v>
      </c>
    </row>
    <row r="31" spans="1:14" x14ac:dyDescent="0.25">
      <c r="A31" s="32">
        <v>261</v>
      </c>
      <c r="B31" s="3" t="s">
        <v>146</v>
      </c>
      <c r="D31" s="51">
        <v>0</v>
      </c>
      <c r="F31" s="51">
        <v>0</v>
      </c>
      <c r="G31" s="12"/>
      <c r="H31" s="51">
        <v>0</v>
      </c>
      <c r="I31" s="12"/>
      <c r="J31" s="51">
        <v>0</v>
      </c>
      <c r="K31" s="12"/>
      <c r="L31" s="51">
        <v>0</v>
      </c>
      <c r="N31" s="7">
        <f>D31+F31+H31+J31+L31</f>
        <v>0</v>
      </c>
    </row>
    <row r="32" spans="1:14" x14ac:dyDescent="0.25">
      <c r="A32" s="32"/>
      <c r="B32" s="23" t="s">
        <v>46</v>
      </c>
      <c r="D32" s="10">
        <f>SUM(D30:D31)</f>
        <v>0</v>
      </c>
      <c r="F32" s="10">
        <f>SUM(F30:F31)</f>
        <v>0</v>
      </c>
      <c r="G32" s="12"/>
      <c r="H32" s="10">
        <f>SUM(H30:H31)</f>
        <v>0</v>
      </c>
      <c r="I32" s="12"/>
      <c r="J32" s="10">
        <f>SUM(J30:J31)</f>
        <v>0</v>
      </c>
      <c r="K32" s="12"/>
      <c r="L32" s="10">
        <f>SUM(L30:L31)</f>
        <v>0</v>
      </c>
      <c r="N32" s="8">
        <f>D32+F32+H32+J32+L32</f>
        <v>0</v>
      </c>
    </row>
    <row r="33" spans="1:14" x14ac:dyDescent="0.25">
      <c r="A33" s="32"/>
      <c r="B33" s="22" t="s">
        <v>139</v>
      </c>
      <c r="D33" s="42" t="str">
        <f>IF(D32='Exh A'!D40,"OK","ERROR")</f>
        <v>OK</v>
      </c>
      <c r="F33" s="42" t="str">
        <f>IF(F32='Exh A'!F40,"OK","ERROR")</f>
        <v>OK</v>
      </c>
      <c r="H33" s="42" t="str">
        <f>IF(H32='Exh A'!H40,"OK","ERROR")</f>
        <v>OK</v>
      </c>
      <c r="J33" s="42" t="str">
        <f>IF(J32='Exh A'!J40,"OK","ERROR")</f>
        <v>OK</v>
      </c>
      <c r="L33" s="42" t="str">
        <f>IF(L32='Exh A'!L40,"OK","ERROR")</f>
        <v>OK</v>
      </c>
    </row>
    <row r="34" spans="1:14" x14ac:dyDescent="0.25">
      <c r="A34" s="32"/>
      <c r="B34" s="22"/>
    </row>
    <row r="35" spans="1:14" x14ac:dyDescent="0.25">
      <c r="A35" s="32"/>
      <c r="B35" s="1" t="s">
        <v>78</v>
      </c>
    </row>
    <row r="36" spans="1:14" x14ac:dyDescent="0.25">
      <c r="A36" s="32">
        <v>260</v>
      </c>
      <c r="B36" s="3" t="s">
        <v>145</v>
      </c>
      <c r="D36" s="50">
        <v>0</v>
      </c>
      <c r="F36" s="50">
        <v>0</v>
      </c>
      <c r="G36" s="6"/>
      <c r="H36" s="50">
        <v>0</v>
      </c>
      <c r="I36" s="6"/>
      <c r="J36" s="50">
        <v>0</v>
      </c>
      <c r="K36" s="6"/>
      <c r="L36" s="50">
        <v>0</v>
      </c>
      <c r="N36" s="12">
        <f>D36+F36+H36+J36+L36</f>
        <v>0</v>
      </c>
    </row>
    <row r="37" spans="1:14" x14ac:dyDescent="0.25">
      <c r="A37" s="32">
        <v>261</v>
      </c>
      <c r="B37" s="3" t="s">
        <v>146</v>
      </c>
      <c r="D37" s="49">
        <v>0</v>
      </c>
      <c r="F37" s="49">
        <v>0</v>
      </c>
      <c r="G37" s="6"/>
      <c r="H37" s="49">
        <v>0</v>
      </c>
      <c r="I37" s="6"/>
      <c r="J37" s="49">
        <v>0</v>
      </c>
      <c r="K37" s="6"/>
      <c r="L37" s="49">
        <v>0</v>
      </c>
      <c r="N37" s="7">
        <f>D37+F37+H37+J37+L37</f>
        <v>0</v>
      </c>
    </row>
    <row r="38" spans="1:14" x14ac:dyDescent="0.25">
      <c r="A38" s="32"/>
      <c r="B38" s="23" t="s">
        <v>46</v>
      </c>
      <c r="D38" s="20">
        <f>SUM(D36:D37)</f>
        <v>0</v>
      </c>
      <c r="F38" s="20">
        <f>SUM(F36:F37)</f>
        <v>0</v>
      </c>
      <c r="G38" s="12"/>
      <c r="H38" s="20">
        <f>SUM(H36:H37)</f>
        <v>0</v>
      </c>
      <c r="I38" s="12"/>
      <c r="J38" s="20">
        <f>SUM(J36:J37)</f>
        <v>0</v>
      </c>
      <c r="K38" s="12"/>
      <c r="L38" s="20">
        <f>SUM(L36:L37)</f>
        <v>0</v>
      </c>
      <c r="N38" s="8">
        <f>D38+F38+H38+J38+L38</f>
        <v>0</v>
      </c>
    </row>
    <row r="39" spans="1:14" x14ac:dyDescent="0.25">
      <c r="A39" s="32"/>
      <c r="B39" s="22" t="s">
        <v>139</v>
      </c>
      <c r="D39" s="42" t="str">
        <f>IF(D38='Exh A'!D41,"OK","ERROR")</f>
        <v>OK</v>
      </c>
      <c r="F39" s="42" t="str">
        <f>IF(F38='Exh A'!F41,"OK","ERROR")</f>
        <v>OK</v>
      </c>
      <c r="H39" s="42" t="str">
        <f>IF(H38='Exh A'!H41,"OK","ERROR")</f>
        <v>OK</v>
      </c>
      <c r="J39" s="42" t="str">
        <f>IF(J38='Exh A'!J41,"OK","ERROR")</f>
        <v>OK</v>
      </c>
      <c r="L39" s="42" t="str">
        <f>IF(L38='Exh A'!L41,"OK","ERROR")</f>
        <v>OK</v>
      </c>
    </row>
    <row r="40" spans="1:14" x14ac:dyDescent="0.25">
      <c r="A40" s="32"/>
      <c r="B40" s="22"/>
      <c r="D40" s="42"/>
      <c r="F40" s="42"/>
      <c r="H40" s="42"/>
      <c r="J40" s="42"/>
      <c r="L40" s="42"/>
    </row>
    <row r="41" spans="1:14" x14ac:dyDescent="0.25">
      <c r="A41" s="32"/>
      <c r="B41" s="198" t="s">
        <v>79</v>
      </c>
    </row>
    <row r="42" spans="1:14" x14ac:dyDescent="0.25">
      <c r="A42" s="32">
        <v>260</v>
      </c>
      <c r="B42" s="199" t="s">
        <v>145</v>
      </c>
      <c r="D42" s="50">
        <v>0</v>
      </c>
      <c r="F42" s="50">
        <v>0</v>
      </c>
      <c r="G42" s="6"/>
      <c r="H42" s="50">
        <v>0</v>
      </c>
      <c r="I42" s="6"/>
      <c r="J42" s="50">
        <v>0</v>
      </c>
      <c r="K42" s="6"/>
      <c r="L42" s="50">
        <v>0</v>
      </c>
      <c r="N42" s="12">
        <f>D42+F42+H42+J42+L42</f>
        <v>0</v>
      </c>
    </row>
    <row r="43" spans="1:14" x14ac:dyDescent="0.25">
      <c r="A43" s="32">
        <v>261</v>
      </c>
      <c r="B43" s="199" t="s">
        <v>146</v>
      </c>
      <c r="D43" s="49">
        <v>0</v>
      </c>
      <c r="F43" s="49">
        <v>0</v>
      </c>
      <c r="G43" s="6"/>
      <c r="H43" s="49">
        <v>0</v>
      </c>
      <c r="I43" s="6"/>
      <c r="J43" s="49">
        <v>0</v>
      </c>
      <c r="K43" s="6"/>
      <c r="L43" s="49">
        <v>0</v>
      </c>
      <c r="N43" s="7">
        <f>D43+F43+H43+J43+L43</f>
        <v>0</v>
      </c>
    </row>
    <row r="44" spans="1:14" x14ac:dyDescent="0.25">
      <c r="A44" s="32"/>
      <c r="B44" s="23" t="s">
        <v>46</v>
      </c>
      <c r="D44" s="20">
        <f>SUM(D42:D43)</f>
        <v>0</v>
      </c>
      <c r="F44" s="20">
        <f>SUM(F42:F43)</f>
        <v>0</v>
      </c>
      <c r="G44" s="12"/>
      <c r="H44" s="20">
        <f>SUM(H42:H43)</f>
        <v>0</v>
      </c>
      <c r="I44" s="12"/>
      <c r="J44" s="20">
        <f>SUM(J42:J43)</f>
        <v>0</v>
      </c>
      <c r="K44" s="12"/>
      <c r="L44" s="20">
        <f>SUM(L42:L43)</f>
        <v>0</v>
      </c>
      <c r="N44" s="8">
        <f>D44+F44+H44+J44+L44</f>
        <v>0</v>
      </c>
    </row>
    <row r="45" spans="1:14" x14ac:dyDescent="0.25">
      <c r="A45" s="32"/>
      <c r="B45" s="22" t="s">
        <v>139</v>
      </c>
      <c r="D45" s="42" t="str">
        <f>IF(D44='Exh A'!D42,"OK","ERROR")</f>
        <v>OK</v>
      </c>
      <c r="F45" s="42" t="str">
        <f>IF(F44='Exh A'!F42,"OK","ERROR")</f>
        <v>OK</v>
      </c>
      <c r="H45" s="42" t="str">
        <f>IF(H44='Exh A'!H42,"OK","ERROR")</f>
        <v>OK</v>
      </c>
      <c r="J45" s="42" t="str">
        <f>IF(J44='Exh A'!J42,"OK","ERROR")</f>
        <v>OK</v>
      </c>
      <c r="L45" s="42" t="str">
        <f>IF(L44='Exh A'!L42,"OK","ERROR")</f>
        <v>OK</v>
      </c>
    </row>
    <row r="46" spans="1:14" x14ac:dyDescent="0.25">
      <c r="A46" s="32"/>
      <c r="B46" s="22"/>
    </row>
    <row r="47" spans="1:14" x14ac:dyDescent="0.25">
      <c r="A47" s="32"/>
      <c r="B47" s="1" t="s">
        <v>80</v>
      </c>
    </row>
    <row r="48" spans="1:14" x14ac:dyDescent="0.25">
      <c r="A48" s="32">
        <v>260</v>
      </c>
      <c r="B48" s="3" t="s">
        <v>145</v>
      </c>
      <c r="D48" s="50">
        <v>0</v>
      </c>
      <c r="F48" s="50">
        <v>0</v>
      </c>
      <c r="G48" s="6"/>
      <c r="H48" s="50">
        <v>0</v>
      </c>
      <c r="I48" s="6"/>
      <c r="J48" s="50">
        <v>0</v>
      </c>
      <c r="K48" s="6"/>
      <c r="L48" s="50">
        <v>0</v>
      </c>
      <c r="N48" s="12">
        <f>D48+F48+H48+J48+L48</f>
        <v>0</v>
      </c>
    </row>
    <row r="49" spans="1:14" x14ac:dyDescent="0.25">
      <c r="A49" s="32">
        <v>261</v>
      </c>
      <c r="B49" s="3" t="s">
        <v>146</v>
      </c>
      <c r="D49" s="49">
        <v>0</v>
      </c>
      <c r="F49" s="49">
        <v>0</v>
      </c>
      <c r="G49" s="6"/>
      <c r="H49" s="49">
        <v>0</v>
      </c>
      <c r="I49" s="6"/>
      <c r="J49" s="49">
        <v>0</v>
      </c>
      <c r="K49" s="6"/>
      <c r="L49" s="49">
        <v>0</v>
      </c>
      <c r="N49" s="7">
        <f>D49+F49+H49+J49+L49</f>
        <v>0</v>
      </c>
    </row>
    <row r="50" spans="1:14" x14ac:dyDescent="0.25">
      <c r="A50" s="32"/>
      <c r="B50" s="23" t="s">
        <v>46</v>
      </c>
      <c r="D50" s="20">
        <f>SUM(D48:D49)</f>
        <v>0</v>
      </c>
      <c r="F50" s="20">
        <f>SUM(F48:F49)</f>
        <v>0</v>
      </c>
      <c r="G50" s="12"/>
      <c r="H50" s="20">
        <f>SUM(H48:H49)</f>
        <v>0</v>
      </c>
      <c r="I50" s="12"/>
      <c r="J50" s="20">
        <f>SUM(J48:J49)</f>
        <v>0</v>
      </c>
      <c r="K50" s="12"/>
      <c r="L50" s="20">
        <f>SUM(L48:L49)</f>
        <v>0</v>
      </c>
      <c r="N50" s="8">
        <f>D50+F50+H50+J50+L50</f>
        <v>0</v>
      </c>
    </row>
    <row r="51" spans="1:14" x14ac:dyDescent="0.25">
      <c r="A51" s="32"/>
      <c r="B51" s="22" t="s">
        <v>139</v>
      </c>
      <c r="D51" s="42" t="str">
        <f>IF(D50='Exh A'!D43,"OK","ERROR")</f>
        <v>OK</v>
      </c>
      <c r="F51" s="42" t="str">
        <f>IF(F50='Exh A'!F43,"OK","ERROR")</f>
        <v>OK</v>
      </c>
      <c r="H51" s="42" t="str">
        <f>IF(H50='Exh A'!H43,"OK","ERROR")</f>
        <v>OK</v>
      </c>
      <c r="J51" s="42" t="str">
        <f>IF(J50='Exh A'!J43,"OK","ERROR")</f>
        <v>OK</v>
      </c>
      <c r="L51" s="42" t="str">
        <f>IF(L50='Exh A'!L43,"OK","ERROR")</f>
        <v>OK</v>
      </c>
    </row>
    <row r="52" spans="1:14" x14ac:dyDescent="0.25">
      <c r="A52" s="32"/>
      <c r="B52" s="22"/>
    </row>
    <row r="53" spans="1:14" x14ac:dyDescent="0.25">
      <c r="A53" s="32"/>
      <c r="B53" s="1" t="s">
        <v>81</v>
      </c>
    </row>
    <row r="54" spans="1:14" x14ac:dyDescent="0.25">
      <c r="A54" s="32">
        <v>260</v>
      </c>
      <c r="B54" s="3" t="s">
        <v>145</v>
      </c>
      <c r="D54" s="50">
        <v>0</v>
      </c>
      <c r="F54" s="50">
        <v>0</v>
      </c>
      <c r="G54" s="12"/>
      <c r="H54" s="50">
        <v>0</v>
      </c>
      <c r="I54" s="12"/>
      <c r="J54" s="50">
        <v>0</v>
      </c>
      <c r="K54" s="12"/>
      <c r="L54" s="50">
        <v>0</v>
      </c>
      <c r="N54" s="6">
        <f>D54+F54+H54+J54+L54</f>
        <v>0</v>
      </c>
    </row>
    <row r="55" spans="1:14" x14ac:dyDescent="0.25">
      <c r="A55" s="32">
        <v>261</v>
      </c>
      <c r="B55" s="3" t="s">
        <v>146</v>
      </c>
      <c r="D55" s="51">
        <v>0</v>
      </c>
      <c r="F55" s="51">
        <v>0</v>
      </c>
      <c r="G55" s="12"/>
      <c r="H55" s="51">
        <v>0</v>
      </c>
      <c r="I55" s="12"/>
      <c r="J55" s="51">
        <v>0</v>
      </c>
      <c r="K55" s="12"/>
      <c r="L55" s="51">
        <v>0</v>
      </c>
      <c r="N55" s="7">
        <f>D55+F55+H55+J55+L55</f>
        <v>0</v>
      </c>
    </row>
    <row r="56" spans="1:14" x14ac:dyDescent="0.25">
      <c r="A56" s="32"/>
      <c r="B56" s="23" t="s">
        <v>46</v>
      </c>
      <c r="D56" s="10">
        <f>SUM(D54:D55)</f>
        <v>0</v>
      </c>
      <c r="F56" s="10">
        <f>SUM(F54:F55)</f>
        <v>0</v>
      </c>
      <c r="G56" s="12"/>
      <c r="H56" s="10">
        <f>SUM(H54:H55)</f>
        <v>0</v>
      </c>
      <c r="I56" s="12"/>
      <c r="J56" s="10">
        <f>SUM(J54:J55)</f>
        <v>0</v>
      </c>
      <c r="K56" s="12"/>
      <c r="L56" s="10">
        <f>SUM(L54:L55)</f>
        <v>0</v>
      </c>
      <c r="N56" s="8">
        <f>D56+F56+H56+J56+L56</f>
        <v>0</v>
      </c>
    </row>
    <row r="57" spans="1:14" x14ac:dyDescent="0.25">
      <c r="A57" s="32"/>
      <c r="B57" s="22" t="s">
        <v>139</v>
      </c>
      <c r="D57" s="42" t="str">
        <f>IF(D56='Exh A'!D44,"OK","ERROR")</f>
        <v>OK</v>
      </c>
      <c r="F57" s="42" t="str">
        <f>IF(F56='Exh A'!F44,"OK","ERROR")</f>
        <v>OK</v>
      </c>
      <c r="H57" s="42" t="str">
        <f>IF(H56='Exh A'!H44,"OK","ERROR")</f>
        <v>OK</v>
      </c>
      <c r="J57" s="42" t="str">
        <f>IF(J56='Exh A'!J44,"OK","ERROR")</f>
        <v>OK</v>
      </c>
      <c r="L57" s="42" t="str">
        <f>IF(L56='Exh A'!L44,"OK","ERROR")</f>
        <v>OK</v>
      </c>
    </row>
    <row r="58" spans="1:14" x14ac:dyDescent="0.25">
      <c r="A58" s="32"/>
      <c r="B58" s="22"/>
    </row>
    <row r="59" spans="1:14" x14ac:dyDescent="0.25">
      <c r="A59" s="32"/>
      <c r="B59" s="1" t="s">
        <v>106</v>
      </c>
    </row>
    <row r="60" spans="1:14" x14ac:dyDescent="0.25">
      <c r="A60" s="32">
        <v>500</v>
      </c>
      <c r="B60" s="3" t="s">
        <v>147</v>
      </c>
      <c r="D60" s="50">
        <v>0</v>
      </c>
      <c r="F60" s="50">
        <v>0</v>
      </c>
      <c r="G60" s="12"/>
      <c r="H60" s="50">
        <v>0</v>
      </c>
      <c r="I60" s="12"/>
      <c r="J60" s="50">
        <v>0</v>
      </c>
      <c r="K60" s="12"/>
      <c r="L60" s="50">
        <v>0</v>
      </c>
      <c r="N60" s="6">
        <f>D60+F60+H60+J60+L60</f>
        <v>0</v>
      </c>
    </row>
    <row r="61" spans="1:14" x14ac:dyDescent="0.25">
      <c r="A61" s="32">
        <v>510</v>
      </c>
      <c r="B61" s="3" t="s">
        <v>148</v>
      </c>
      <c r="D61" s="50">
        <v>0</v>
      </c>
      <c r="F61" s="50">
        <v>0</v>
      </c>
      <c r="G61" s="12"/>
      <c r="H61" s="50">
        <v>0</v>
      </c>
      <c r="I61" s="12"/>
      <c r="J61" s="50">
        <v>0</v>
      </c>
      <c r="K61" s="12"/>
      <c r="L61" s="50">
        <v>0</v>
      </c>
      <c r="N61" s="6">
        <f>D61+F61+H61+J61+L61</f>
        <v>0</v>
      </c>
    </row>
    <row r="62" spans="1:14" x14ac:dyDescent="0.25">
      <c r="A62" s="32">
        <v>520</v>
      </c>
      <c r="B62" s="3" t="s">
        <v>149</v>
      </c>
      <c r="D62" s="51">
        <v>0</v>
      </c>
      <c r="F62" s="51">
        <v>0</v>
      </c>
      <c r="G62" s="12"/>
      <c r="H62" s="51">
        <v>0</v>
      </c>
      <c r="I62" s="12"/>
      <c r="J62" s="51">
        <v>0</v>
      </c>
      <c r="K62" s="12"/>
      <c r="L62" s="51">
        <v>0</v>
      </c>
      <c r="N62" s="7">
        <f>D62+F62+H62+J62+L62</f>
        <v>0</v>
      </c>
    </row>
    <row r="63" spans="1:14" x14ac:dyDescent="0.25">
      <c r="A63" s="32"/>
      <c r="B63" s="23" t="s">
        <v>46</v>
      </c>
      <c r="D63" s="20">
        <f>SUM(D60:D62)</f>
        <v>0</v>
      </c>
      <c r="F63" s="20">
        <f>SUM(F60:F62)</f>
        <v>0</v>
      </c>
      <c r="G63" s="12"/>
      <c r="H63" s="20">
        <f>SUM(H60:H62)</f>
        <v>0</v>
      </c>
      <c r="I63" s="12"/>
      <c r="J63" s="20">
        <f>SUM(J60:J62)</f>
        <v>0</v>
      </c>
      <c r="K63" s="12"/>
      <c r="L63" s="20">
        <f>SUM(L60:L62)</f>
        <v>0</v>
      </c>
      <c r="N63" s="8">
        <f>D63+F63+H63+J63+L63</f>
        <v>0</v>
      </c>
    </row>
    <row r="64" spans="1:14" x14ac:dyDescent="0.25">
      <c r="A64" s="32"/>
      <c r="B64" s="22" t="s">
        <v>150</v>
      </c>
      <c r="D64" s="42" t="str">
        <f>IF(D63='Exh B'!D9,"OK","ERROR")</f>
        <v>OK</v>
      </c>
      <c r="F64" s="42" t="str">
        <f>IF(F63='Exh B'!F9,"OK","ERROR")</f>
        <v>OK</v>
      </c>
      <c r="H64" s="42" t="str">
        <f>IF(H63='Exh B'!H9,"OK","ERROR")</f>
        <v>OK</v>
      </c>
      <c r="J64" s="42" t="str">
        <f>IF(J63='Exh B'!J9,"OK","ERROR")</f>
        <v>OK</v>
      </c>
      <c r="L64" s="42" t="str">
        <f>IF(L63='Exh B'!L9,"OK","ERROR")</f>
        <v>OK</v>
      </c>
    </row>
    <row r="65" spans="1:14" ht="18" customHeight="1" x14ac:dyDescent="0.25">
      <c r="A65" s="32"/>
      <c r="B65" s="22"/>
    </row>
    <row r="66" spans="1:14" ht="18" customHeight="1" x14ac:dyDescent="0.25">
      <c r="A66" s="314"/>
      <c r="B66" s="316" t="s">
        <v>715</v>
      </c>
      <c r="C66" s="320"/>
      <c r="D66" s="320"/>
      <c r="E66" s="320"/>
      <c r="F66" s="320"/>
      <c r="G66" s="320"/>
      <c r="H66" s="320"/>
      <c r="I66" s="320"/>
      <c r="J66" s="320"/>
      <c r="K66" s="320"/>
      <c r="L66" s="320"/>
      <c r="M66" s="320"/>
      <c r="N66" s="320"/>
    </row>
    <row r="67" spans="1:14" ht="18" customHeight="1" x14ac:dyDescent="0.25">
      <c r="A67" s="314">
        <v>260</v>
      </c>
      <c r="B67" s="317" t="s">
        <v>145</v>
      </c>
      <c r="C67" s="320"/>
      <c r="D67" s="321">
        <v>0</v>
      </c>
      <c r="E67" s="320"/>
      <c r="F67" s="321">
        <v>0</v>
      </c>
      <c r="G67" s="322"/>
      <c r="H67" s="321">
        <v>0</v>
      </c>
      <c r="I67" s="322"/>
      <c r="J67" s="321">
        <v>0</v>
      </c>
      <c r="K67" s="322"/>
      <c r="L67" s="321">
        <v>0</v>
      </c>
      <c r="M67" s="320"/>
      <c r="N67" s="323">
        <f>D67+F67+H67+J67+L67</f>
        <v>0</v>
      </c>
    </row>
    <row r="68" spans="1:14" ht="18" customHeight="1" x14ac:dyDescent="0.25">
      <c r="A68" s="314">
        <v>261</v>
      </c>
      <c r="B68" s="317" t="s">
        <v>146</v>
      </c>
      <c r="C68" s="320"/>
      <c r="D68" s="324">
        <v>0</v>
      </c>
      <c r="E68" s="320"/>
      <c r="F68" s="324">
        <v>0</v>
      </c>
      <c r="G68" s="322"/>
      <c r="H68" s="324">
        <v>0</v>
      </c>
      <c r="I68" s="322"/>
      <c r="J68" s="324">
        <v>0</v>
      </c>
      <c r="K68" s="322"/>
      <c r="L68" s="324">
        <v>0</v>
      </c>
      <c r="M68" s="320"/>
      <c r="N68" s="325">
        <f>D68+F68+H68+J68+L68</f>
        <v>0</v>
      </c>
    </row>
    <row r="69" spans="1:14" ht="18" customHeight="1" x14ac:dyDescent="0.25">
      <c r="A69" s="314"/>
      <c r="B69" s="318" t="s">
        <v>46</v>
      </c>
      <c r="C69" s="320"/>
      <c r="D69" s="326">
        <f>SUM(D67:D68)</f>
        <v>0</v>
      </c>
      <c r="E69" s="320"/>
      <c r="F69" s="326">
        <f>SUM(F67:F68)</f>
        <v>0</v>
      </c>
      <c r="G69" s="322"/>
      <c r="H69" s="326">
        <f>SUM(H67:H68)</f>
        <v>0</v>
      </c>
      <c r="I69" s="322"/>
      <c r="J69" s="326">
        <f>SUM(J67:J68)</f>
        <v>0</v>
      </c>
      <c r="K69" s="322"/>
      <c r="L69" s="326">
        <f>SUM(L67:L68)</f>
        <v>0</v>
      </c>
      <c r="M69" s="320"/>
      <c r="N69" s="327">
        <f>D69+F69+H69+J69+L69</f>
        <v>0</v>
      </c>
    </row>
    <row r="70" spans="1:14" ht="18" customHeight="1" x14ac:dyDescent="0.25">
      <c r="A70" s="314"/>
      <c r="B70" s="319" t="s">
        <v>139</v>
      </c>
      <c r="C70" s="320"/>
      <c r="D70" s="328" t="str">
        <f>IF(D69='Exh A'!D31,"OK","ERROR")</f>
        <v>OK</v>
      </c>
      <c r="E70" s="320"/>
      <c r="F70" s="328" t="str">
        <f>IF(F69='Exh A'!F31,"OK","ERROR")</f>
        <v>OK</v>
      </c>
      <c r="G70" s="320"/>
      <c r="H70" s="328" t="str">
        <f>IF(H69='Exh A'!H31,"OK","ERROR")</f>
        <v>OK</v>
      </c>
      <c r="I70" s="320"/>
      <c r="J70" s="328" t="str">
        <f>IF(J69='Exh A'!J31,"OK","ERROR")</f>
        <v>OK</v>
      </c>
      <c r="K70" s="320"/>
      <c r="L70" s="328" t="str">
        <f>IF(L69='Exh A'!L31,"OK","ERROR")</f>
        <v>OK</v>
      </c>
      <c r="M70" s="320"/>
      <c r="N70" s="320"/>
    </row>
    <row r="71" spans="1:14" ht="18" customHeight="1" x14ac:dyDescent="0.25">
      <c r="A71" s="32"/>
      <c r="B71" s="22"/>
    </row>
    <row r="72" spans="1:14" ht="18" customHeight="1" x14ac:dyDescent="0.25">
      <c r="A72" s="32"/>
      <c r="B72" s="22"/>
    </row>
    <row r="73" spans="1:14" x14ac:dyDescent="0.25">
      <c r="A73" s="358" t="s">
        <v>151</v>
      </c>
      <c r="B73" s="358"/>
    </row>
    <row r="74" spans="1:14" ht="12" customHeight="1" x14ac:dyDescent="0.25">
      <c r="A74" s="45"/>
      <c r="B74" s="45"/>
    </row>
    <row r="75" spans="1:14" ht="15.6" x14ac:dyDescent="0.25">
      <c r="A75" s="32"/>
      <c r="B75" s="1" t="s">
        <v>152</v>
      </c>
    </row>
    <row r="76" spans="1:14" x14ac:dyDescent="0.25">
      <c r="A76" s="32">
        <v>604</v>
      </c>
      <c r="B76" s="3" t="s">
        <v>153</v>
      </c>
      <c r="D76" s="50">
        <v>0</v>
      </c>
      <c r="F76" s="50">
        <v>0</v>
      </c>
      <c r="H76" s="50">
        <v>0</v>
      </c>
      <c r="J76" s="50">
        <v>0</v>
      </c>
      <c r="K76" s="12"/>
      <c r="L76" s="50">
        <v>0</v>
      </c>
      <c r="N76" s="6">
        <f>D76+F76+H76+J76+L76</f>
        <v>0</v>
      </c>
    </row>
    <row r="77" spans="1:14" x14ac:dyDescent="0.25">
      <c r="A77" s="32">
        <v>600</v>
      </c>
      <c r="B77" s="3" t="s">
        <v>154</v>
      </c>
      <c r="D77" s="50">
        <v>0</v>
      </c>
      <c r="F77" s="50">
        <v>0</v>
      </c>
      <c r="H77" s="50">
        <v>0</v>
      </c>
      <c r="J77" s="50">
        <v>0</v>
      </c>
      <c r="K77" s="12"/>
      <c r="L77" s="50">
        <v>0</v>
      </c>
      <c r="N77" s="6">
        <f>D77+F77+H77+J77+L77</f>
        <v>0</v>
      </c>
    </row>
    <row r="78" spans="1:14" x14ac:dyDescent="0.25">
      <c r="A78" s="32">
        <v>602</v>
      </c>
      <c r="B78" s="3" t="s">
        <v>155</v>
      </c>
      <c r="D78" s="51">
        <v>0</v>
      </c>
      <c r="F78" s="51">
        <v>0</v>
      </c>
      <c r="H78" s="51">
        <v>0</v>
      </c>
      <c r="J78" s="51">
        <v>0</v>
      </c>
      <c r="K78" s="12"/>
      <c r="L78" s="51">
        <v>0</v>
      </c>
      <c r="N78" s="7">
        <f>D78+F78+H78+J78+L78</f>
        <v>0</v>
      </c>
    </row>
    <row r="79" spans="1:14" x14ac:dyDescent="0.25">
      <c r="A79" s="32"/>
      <c r="B79" s="23" t="s">
        <v>46</v>
      </c>
      <c r="D79" s="20">
        <f>SUM(D76:D78)</f>
        <v>0</v>
      </c>
      <c r="F79" s="20">
        <f>SUM(F76:F78)</f>
        <v>0</v>
      </c>
      <c r="H79" s="20">
        <f>SUM(H76:H78)</f>
        <v>0</v>
      </c>
      <c r="J79" s="20">
        <f>SUM(J76:J78)</f>
        <v>0</v>
      </c>
      <c r="K79" s="12"/>
      <c r="L79" s="20">
        <f>SUM(L76:L78)</f>
        <v>0</v>
      </c>
      <c r="N79" s="8">
        <f>D79+F79+H79+J79+L79</f>
        <v>0</v>
      </c>
    </row>
    <row r="80" spans="1:14" x14ac:dyDescent="0.25">
      <c r="A80" s="32"/>
      <c r="B80" s="22" t="s">
        <v>150</v>
      </c>
      <c r="D80" s="42" t="str">
        <f>IF(D79='Exh B'!D21,"OK","ERROR")</f>
        <v>OK</v>
      </c>
      <c r="F80" s="42" t="str">
        <f>IF(F79='Exh B'!F21,"OK","ERROR")</f>
        <v>OK</v>
      </c>
      <c r="H80" s="42" t="str">
        <f>IF(H79='Exh B'!H21,"OK","ERROR")</f>
        <v>OK</v>
      </c>
      <c r="J80" s="42" t="str">
        <f>IF(J79='Exh B'!J21,"OK","ERROR")</f>
        <v>OK</v>
      </c>
      <c r="L80" s="42" t="str">
        <f>IF(L79='Exh B'!L21,"OK","ERROR")</f>
        <v>OK</v>
      </c>
    </row>
    <row r="81" spans="1:14" ht="18" customHeight="1" x14ac:dyDescent="0.25">
      <c r="A81" s="32"/>
      <c r="B81" s="22"/>
      <c r="D81" s="42"/>
      <c r="F81" s="42"/>
      <c r="H81" s="42"/>
      <c r="J81" s="42"/>
      <c r="L81" s="42"/>
    </row>
    <row r="82" spans="1:14" x14ac:dyDescent="0.25">
      <c r="A82" s="32"/>
      <c r="B82" s="281" t="s">
        <v>156</v>
      </c>
      <c r="D82" s="42"/>
      <c r="F82" s="42"/>
      <c r="H82" s="42"/>
      <c r="J82" s="42"/>
      <c r="L82" s="42"/>
    </row>
    <row r="83" spans="1:14" x14ac:dyDescent="0.25">
      <c r="A83" s="32"/>
      <c r="B83" s="281"/>
      <c r="D83" s="42"/>
      <c r="F83" s="42"/>
      <c r="H83" s="42"/>
      <c r="J83" s="42"/>
      <c r="L83" s="42"/>
    </row>
    <row r="84" spans="1:14" x14ac:dyDescent="0.25">
      <c r="A84" s="32"/>
      <c r="B84" s="1" t="s">
        <v>157</v>
      </c>
      <c r="D84" s="53" t="s">
        <v>158</v>
      </c>
      <c r="F84" s="53" t="s">
        <v>158</v>
      </c>
      <c r="H84" s="53" t="s">
        <v>158</v>
      </c>
      <c r="J84" s="53" t="s">
        <v>158</v>
      </c>
      <c r="L84" s="53" t="s">
        <v>158</v>
      </c>
      <c r="N84" s="53" t="s">
        <v>158</v>
      </c>
    </row>
    <row r="85" spans="1:14" x14ac:dyDescent="0.25">
      <c r="A85" s="32"/>
    </row>
    <row r="86" spans="1:14" x14ac:dyDescent="0.25">
      <c r="A86" s="32"/>
      <c r="B86" s="56" t="s">
        <v>80</v>
      </c>
      <c r="D86" s="42"/>
      <c r="F86" s="42"/>
      <c r="H86" s="42"/>
      <c r="J86" s="42"/>
      <c r="L86" s="42"/>
    </row>
    <row r="87" spans="1:14" x14ac:dyDescent="0.25">
      <c r="A87" s="32"/>
      <c r="B87" s="3" t="s">
        <v>159</v>
      </c>
      <c r="D87" s="50">
        <v>0</v>
      </c>
      <c r="F87" s="50">
        <v>0</v>
      </c>
      <c r="G87" s="12"/>
      <c r="H87" s="50">
        <v>0</v>
      </c>
      <c r="I87" s="12"/>
      <c r="J87" s="50">
        <v>0</v>
      </c>
      <c r="K87" s="12"/>
      <c r="L87" s="50">
        <v>0</v>
      </c>
      <c r="N87" s="6">
        <f>D87+F87+H87+J87+L87</f>
        <v>0</v>
      </c>
    </row>
    <row r="88" spans="1:14" x14ac:dyDescent="0.25">
      <c r="A88" s="32"/>
      <c r="B88" s="3" t="s">
        <v>160</v>
      </c>
      <c r="D88" s="51">
        <v>0</v>
      </c>
      <c r="F88" s="51">
        <v>0</v>
      </c>
      <c r="G88" s="12"/>
      <c r="H88" s="51">
        <v>0</v>
      </c>
      <c r="I88" s="12"/>
      <c r="J88" s="51">
        <v>0</v>
      </c>
      <c r="K88" s="12"/>
      <c r="L88" s="51">
        <v>0</v>
      </c>
      <c r="N88" s="7">
        <f>D88+F88+H88+J88+L88</f>
        <v>0</v>
      </c>
    </row>
    <row r="89" spans="1:14" x14ac:dyDescent="0.25">
      <c r="A89" s="32"/>
      <c r="B89" s="23" t="s">
        <v>46</v>
      </c>
      <c r="D89" s="10">
        <f>SUM(D87:D88)</f>
        <v>0</v>
      </c>
      <c r="F89" s="10">
        <f>SUM(F87:F88)</f>
        <v>0</v>
      </c>
      <c r="G89" s="12"/>
      <c r="H89" s="10">
        <f>SUM(H87:H88)</f>
        <v>0</v>
      </c>
      <c r="I89" s="12"/>
      <c r="J89" s="10">
        <f>SUM(J87:J88)</f>
        <v>0</v>
      </c>
      <c r="K89" s="12"/>
      <c r="L89" s="10">
        <f>SUM(L87:L88)</f>
        <v>0</v>
      </c>
      <c r="N89" s="7">
        <f>D89+F89+H89+J89+L89</f>
        <v>0</v>
      </c>
    </row>
    <row r="90" spans="1:14" x14ac:dyDescent="0.25">
      <c r="A90" s="32"/>
      <c r="B90" s="22" t="s">
        <v>139</v>
      </c>
      <c r="D90" s="42" t="str">
        <f>IF(D89='Exh A'!D43,"OK","ERROR")</f>
        <v>OK</v>
      </c>
      <c r="F90" s="42" t="str">
        <f>IF(F89='Exh A'!F43,"OK","ERROR")</f>
        <v>OK</v>
      </c>
      <c r="H90" s="42" t="str">
        <f>IF(H89='Exh A'!H43,"OK","ERROR")</f>
        <v>OK</v>
      </c>
      <c r="J90" s="42" t="str">
        <f>IF(J89='Exh A'!J43,"OK","ERROR")</f>
        <v>OK</v>
      </c>
      <c r="L90" s="42" t="str">
        <f>IF(L89='Exh A'!L43,"OK","ERROR")</f>
        <v>OK</v>
      </c>
    </row>
    <row r="91" spans="1:14" x14ac:dyDescent="0.25">
      <c r="A91" s="32"/>
      <c r="B91" s="174"/>
      <c r="D91" s="42"/>
      <c r="F91" s="42"/>
      <c r="H91" s="42"/>
      <c r="J91" s="42"/>
      <c r="L91" s="42"/>
    </row>
    <row r="92" spans="1:14" x14ac:dyDescent="0.25">
      <c r="A92" s="32"/>
      <c r="B92" s="56" t="s">
        <v>81</v>
      </c>
      <c r="D92" s="42"/>
      <c r="F92" s="42"/>
      <c r="H92" s="42"/>
      <c r="J92" s="42"/>
      <c r="L92" s="42"/>
    </row>
    <row r="93" spans="1:14" x14ac:dyDescent="0.25">
      <c r="A93" s="32"/>
      <c r="B93" s="3" t="s">
        <v>161</v>
      </c>
      <c r="D93" s="50">
        <v>0</v>
      </c>
      <c r="F93" s="50">
        <v>0</v>
      </c>
      <c r="G93" s="12"/>
      <c r="H93" s="50">
        <v>0</v>
      </c>
      <c r="I93" s="12"/>
      <c r="J93" s="50">
        <v>0</v>
      </c>
      <c r="K93" s="12"/>
      <c r="L93" s="50">
        <v>0</v>
      </c>
      <c r="N93" s="6">
        <f>D93+F93+H93+J93+L93</f>
        <v>0</v>
      </c>
    </row>
    <row r="94" spans="1:14" x14ac:dyDescent="0.25">
      <c r="A94" s="32"/>
      <c r="B94" s="3" t="s">
        <v>162</v>
      </c>
      <c r="D94" s="51">
        <v>0</v>
      </c>
      <c r="F94" s="51">
        <v>0</v>
      </c>
      <c r="G94" s="12"/>
      <c r="H94" s="51">
        <v>0</v>
      </c>
      <c r="I94" s="12"/>
      <c r="J94" s="51">
        <v>0</v>
      </c>
      <c r="K94" s="12"/>
      <c r="L94" s="51">
        <v>0</v>
      </c>
      <c r="N94" s="7">
        <f>D94+F94+H94+J94+L94</f>
        <v>0</v>
      </c>
    </row>
    <row r="95" spans="1:14" x14ac:dyDescent="0.25">
      <c r="A95" s="32"/>
      <c r="B95" s="23" t="s">
        <v>46</v>
      </c>
      <c r="D95" s="10">
        <f>SUM(D93:D94)</f>
        <v>0</v>
      </c>
      <c r="F95" s="10">
        <f>SUM(F93:F94)</f>
        <v>0</v>
      </c>
      <c r="G95" s="12"/>
      <c r="H95" s="10">
        <f>SUM(H93:H94)</f>
        <v>0</v>
      </c>
      <c r="I95" s="12"/>
      <c r="J95" s="10">
        <f>SUM(J93:J94)</f>
        <v>0</v>
      </c>
      <c r="K95" s="12"/>
      <c r="L95" s="10">
        <f>SUM(L93:L94)</f>
        <v>0</v>
      </c>
      <c r="N95" s="7">
        <f>D95+F95+H95+J95+L95</f>
        <v>0</v>
      </c>
    </row>
    <row r="96" spans="1:14" x14ac:dyDescent="0.25">
      <c r="A96" s="32"/>
      <c r="B96" s="22" t="s">
        <v>139</v>
      </c>
      <c r="D96" s="42" t="str">
        <f>IF(D95='Exh A'!D44,"OK","ERROR")</f>
        <v>OK</v>
      </c>
      <c r="F96" s="42" t="str">
        <f>IF(F95='Exh A'!F44,"OK","ERROR")</f>
        <v>OK</v>
      </c>
      <c r="H96" s="42" t="str">
        <f>IF(H95='Exh A'!H44,"OK","ERROR")</f>
        <v>OK</v>
      </c>
      <c r="J96" s="42" t="str">
        <f>IF(J95='Exh A'!J44,"OK","ERROR")</f>
        <v>OK</v>
      </c>
      <c r="L96" s="42" t="str">
        <f>IF(L95='Exh A'!L44,"OK","ERROR")</f>
        <v>OK</v>
      </c>
    </row>
    <row r="97" spans="1:15" x14ac:dyDescent="0.25">
      <c r="A97" s="32"/>
      <c r="B97" s="174"/>
      <c r="D97" s="42"/>
      <c r="F97" s="42"/>
      <c r="H97" s="42"/>
      <c r="J97" s="42"/>
      <c r="L97" s="42"/>
    </row>
    <row r="98" spans="1:15" ht="15.6" x14ac:dyDescent="0.25">
      <c r="A98" s="32"/>
      <c r="B98" s="56" t="s">
        <v>163</v>
      </c>
      <c r="D98" s="50"/>
      <c r="F98" s="50"/>
      <c r="H98" s="50"/>
      <c r="J98" s="50"/>
      <c r="L98" s="50"/>
      <c r="N98" s="6"/>
    </row>
    <row r="99" spans="1:15" x14ac:dyDescent="0.25">
      <c r="A99" s="32"/>
      <c r="B99" s="3" t="s">
        <v>164</v>
      </c>
      <c r="D99" s="50">
        <v>0</v>
      </c>
      <c r="F99" s="50">
        <v>0</v>
      </c>
      <c r="H99" s="50">
        <v>0</v>
      </c>
      <c r="J99" s="50">
        <v>0</v>
      </c>
      <c r="L99" s="50">
        <v>0</v>
      </c>
      <c r="N99" s="6">
        <f>D99+F99+H99+J99+L99</f>
        <v>0</v>
      </c>
    </row>
    <row r="100" spans="1:15" x14ac:dyDescent="0.25">
      <c r="A100" s="32"/>
      <c r="B100" s="3" t="s">
        <v>165</v>
      </c>
      <c r="D100" s="51">
        <v>0</v>
      </c>
      <c r="F100" s="51">
        <v>0</v>
      </c>
      <c r="H100" s="51">
        <v>0</v>
      </c>
      <c r="J100" s="51">
        <v>0</v>
      </c>
      <c r="L100" s="51">
        <v>0</v>
      </c>
      <c r="N100" s="7">
        <f>D100+F100+H100+J100+L100</f>
        <v>0</v>
      </c>
    </row>
    <row r="101" spans="1:15" x14ac:dyDescent="0.25">
      <c r="A101" s="32"/>
      <c r="B101" s="23" t="s">
        <v>46</v>
      </c>
      <c r="D101" s="10">
        <f>SUM(D99:D100)</f>
        <v>0</v>
      </c>
      <c r="F101" s="10">
        <f>SUM(F99:F100)</f>
        <v>0</v>
      </c>
      <c r="H101" s="10">
        <f>SUM(H99:H100)</f>
        <v>0</v>
      </c>
      <c r="J101" s="10">
        <f>SUM(J99:J100)</f>
        <v>0</v>
      </c>
      <c r="L101" s="10">
        <f>SUM(L99:L100)</f>
        <v>0</v>
      </c>
      <c r="N101" s="8">
        <f>D101+F101+H101+J101+L101</f>
        <v>0</v>
      </c>
    </row>
    <row r="102" spans="1:15" x14ac:dyDescent="0.25">
      <c r="A102" s="32"/>
      <c r="B102" s="23"/>
      <c r="D102" s="12"/>
      <c r="F102" s="12"/>
      <c r="H102" s="12"/>
      <c r="J102" s="12"/>
      <c r="L102" s="12"/>
      <c r="N102" s="6"/>
    </row>
    <row r="103" spans="1:15" ht="15.6" x14ac:dyDescent="0.25">
      <c r="A103" s="32"/>
      <c r="B103" s="1" t="s">
        <v>166</v>
      </c>
      <c r="C103" s="151"/>
      <c r="D103" s="152"/>
      <c r="E103" s="151"/>
      <c r="F103" s="152"/>
      <c r="G103" s="151"/>
      <c r="H103" s="152"/>
      <c r="I103" s="151"/>
      <c r="J103" s="152"/>
      <c r="K103" s="151"/>
      <c r="L103" s="152"/>
      <c r="M103" s="151"/>
      <c r="N103" s="151"/>
      <c r="O103" s="150"/>
    </row>
    <row r="104" spans="1:15" x14ac:dyDescent="0.25">
      <c r="A104" s="32"/>
      <c r="B104" s="184" t="s">
        <v>167</v>
      </c>
      <c r="C104" s="151"/>
      <c r="D104" s="158">
        <v>0</v>
      </c>
      <c r="E104" s="185"/>
      <c r="F104" s="159">
        <v>0</v>
      </c>
      <c r="G104" s="185"/>
      <c r="H104" s="159">
        <v>0</v>
      </c>
      <c r="I104" s="185"/>
      <c r="J104" s="159">
        <v>0</v>
      </c>
      <c r="K104" s="185"/>
      <c r="L104" s="159">
        <v>0</v>
      </c>
      <c r="M104" s="171"/>
      <c r="N104" s="186">
        <f>D104+F104+H104+J104+L104</f>
        <v>0</v>
      </c>
      <c r="O104" s="150"/>
    </row>
    <row r="105" spans="1:15" x14ac:dyDescent="0.25">
      <c r="A105" s="32"/>
      <c r="B105" s="184" t="s">
        <v>168</v>
      </c>
      <c r="D105" s="160">
        <v>0</v>
      </c>
      <c r="E105" s="50"/>
      <c r="F105" s="161">
        <v>0</v>
      </c>
      <c r="G105" s="50"/>
      <c r="H105" s="161">
        <v>0</v>
      </c>
      <c r="I105" s="50"/>
      <c r="J105" s="161">
        <v>0</v>
      </c>
      <c r="K105" s="50"/>
      <c r="L105" s="161">
        <v>0</v>
      </c>
      <c r="M105" s="50"/>
      <c r="N105" s="187">
        <f>D105+F105+H105+J105+L105</f>
        <v>0</v>
      </c>
      <c r="O105" s="150"/>
    </row>
    <row r="106" spans="1:15" x14ac:dyDescent="0.25">
      <c r="A106" s="32"/>
      <c r="B106" s="184"/>
      <c r="D106" s="153">
        <f>SUM(D104:D105)</f>
        <v>0</v>
      </c>
      <c r="E106" s="50"/>
      <c r="F106" s="154">
        <f>SUM(F104:F105)</f>
        <v>0</v>
      </c>
      <c r="G106" s="50"/>
      <c r="H106" s="154">
        <f>SUM(H104:H105)</f>
        <v>0</v>
      </c>
      <c r="I106" s="50"/>
      <c r="J106" s="154">
        <f>SUM(J104:J105)</f>
        <v>0</v>
      </c>
      <c r="K106" s="50"/>
      <c r="L106" s="154">
        <f>SUM(L104:L105)</f>
        <v>0</v>
      </c>
      <c r="M106" s="50"/>
      <c r="N106" s="188">
        <f>SUM(N104:N105)</f>
        <v>0</v>
      </c>
      <c r="O106" s="150"/>
    </row>
    <row r="107" spans="1:15" x14ac:dyDescent="0.25">
      <c r="A107" s="32"/>
      <c r="B107" s="22"/>
      <c r="D107" s="42" t="str">
        <f>IF(D106='Exh A'!D50,"OK","Explain Further on 'Comments' tab")</f>
        <v>OK</v>
      </c>
      <c r="E107" s="42"/>
      <c r="F107" s="42" t="str">
        <f>IF(F106='Exh A'!F50,"OK","Explain Further on 'Comments' tab")</f>
        <v>OK</v>
      </c>
      <c r="G107" s="42"/>
      <c r="H107" s="42" t="str">
        <f>IF(H106='Exh A'!H50,"OK","Explain Further on 'Comments' tab")</f>
        <v>OK</v>
      </c>
      <c r="I107" s="42"/>
      <c r="J107" s="42" t="str">
        <f>IF(J106='Exh A'!J50,"OK","Explain Further on 'Comments' tab")</f>
        <v>OK</v>
      </c>
      <c r="K107" s="42"/>
      <c r="L107" s="42" t="str">
        <f>IF(L106='Exh A'!L50,"OK","Explain Further on 'Comments' tab")</f>
        <v>OK</v>
      </c>
      <c r="M107" s="42"/>
      <c r="N107" s="42" t="str">
        <f>IF(N106='Exh A'!N50,"OK","Explain Further on 'Comments' tab")</f>
        <v>OK</v>
      </c>
      <c r="O107" s="150"/>
    </row>
    <row r="108" spans="1:15" x14ac:dyDescent="0.25">
      <c r="A108" s="32"/>
      <c r="B108" s="22"/>
      <c r="D108" s="34"/>
      <c r="F108" s="34"/>
      <c r="H108" s="34"/>
      <c r="J108" s="34"/>
      <c r="L108" s="34"/>
    </row>
    <row r="109" spans="1:15" ht="15.6" x14ac:dyDescent="0.25">
      <c r="A109" s="32"/>
      <c r="B109" s="28" t="s">
        <v>169</v>
      </c>
      <c r="C109" s="14"/>
      <c r="D109" s="14"/>
      <c r="E109" s="14"/>
      <c r="F109" s="14"/>
      <c r="G109" s="14"/>
      <c r="H109" s="14"/>
      <c r="I109" s="14"/>
      <c r="J109" s="14"/>
      <c r="K109" s="14"/>
      <c r="L109" s="14"/>
      <c r="M109" s="14"/>
      <c r="N109" s="14"/>
    </row>
    <row r="110" spans="1:15" x14ac:dyDescent="0.25">
      <c r="A110" s="32"/>
      <c r="B110" s="15" t="s">
        <v>170</v>
      </c>
      <c r="C110" s="14"/>
      <c r="D110" s="14"/>
      <c r="E110" s="14"/>
      <c r="F110" s="14"/>
      <c r="G110" s="14"/>
      <c r="H110" s="14"/>
      <c r="I110" s="14"/>
      <c r="J110" s="14"/>
      <c r="K110" s="14"/>
      <c r="L110" s="14"/>
      <c r="M110" s="14"/>
      <c r="N110" s="14"/>
    </row>
    <row r="111" spans="1:15" x14ac:dyDescent="0.25">
      <c r="A111" s="32"/>
      <c r="B111" s="16" t="s">
        <v>171</v>
      </c>
      <c r="C111" s="14"/>
      <c r="D111" s="29">
        <f>'Exh A'!D26</f>
        <v>0</v>
      </c>
      <c r="E111" s="14"/>
      <c r="F111" s="29">
        <f>'Exh A'!F26</f>
        <v>0</v>
      </c>
      <c r="G111" s="18"/>
      <c r="H111" s="29">
        <f>'Exh A'!H26</f>
        <v>0</v>
      </c>
      <c r="I111" s="18"/>
      <c r="J111" s="29">
        <f>'Exh A'!J26</f>
        <v>0</v>
      </c>
      <c r="K111" s="18"/>
      <c r="L111" s="29">
        <f>'Exh A'!L26</f>
        <v>0</v>
      </c>
      <c r="M111" s="14"/>
      <c r="N111" s="29">
        <f t="shared" ref="N111:N116" si="0">D111+F111+H111+J111+L111</f>
        <v>0</v>
      </c>
    </row>
    <row r="112" spans="1:15" x14ac:dyDescent="0.25">
      <c r="A112" s="32"/>
      <c r="B112" s="16" t="s">
        <v>172</v>
      </c>
      <c r="C112" s="14"/>
      <c r="D112" s="18">
        <f>'Exh A'!D41</f>
        <v>0</v>
      </c>
      <c r="E112" s="14"/>
      <c r="F112" s="18">
        <f>'Exh A'!F41</f>
        <v>0</v>
      </c>
      <c r="G112" s="18"/>
      <c r="H112" s="18">
        <f>'Exh A'!H41</f>
        <v>0</v>
      </c>
      <c r="I112" s="18"/>
      <c r="J112" s="18">
        <f>'Exh A'!J41</f>
        <v>0</v>
      </c>
      <c r="K112" s="18"/>
      <c r="L112" s="18">
        <f>'Exh A'!L41</f>
        <v>0</v>
      </c>
      <c r="M112" s="14"/>
      <c r="N112" s="18">
        <f t="shared" si="0"/>
        <v>0</v>
      </c>
    </row>
    <row r="113" spans="1:15" x14ac:dyDescent="0.25">
      <c r="A113" s="32"/>
      <c r="B113" s="16" t="s">
        <v>173</v>
      </c>
      <c r="C113" s="14"/>
      <c r="D113" s="18">
        <f>D87</f>
        <v>0</v>
      </c>
      <c r="E113" s="14"/>
      <c r="F113" s="18">
        <f>F87</f>
        <v>0</v>
      </c>
      <c r="G113" s="18"/>
      <c r="H113" s="18">
        <f>H87</f>
        <v>0</v>
      </c>
      <c r="I113" s="18"/>
      <c r="J113" s="18">
        <f>J87</f>
        <v>0</v>
      </c>
      <c r="K113" s="18"/>
      <c r="L113" s="18">
        <f>L87</f>
        <v>0</v>
      </c>
      <c r="M113" s="14"/>
      <c r="N113" s="18">
        <f t="shared" si="0"/>
        <v>0</v>
      </c>
    </row>
    <row r="114" spans="1:15" x14ac:dyDescent="0.25">
      <c r="A114" s="32"/>
      <c r="B114" s="16" t="s">
        <v>174</v>
      </c>
      <c r="C114" s="14"/>
      <c r="D114" s="18">
        <f>D93</f>
        <v>0</v>
      </c>
      <c r="E114" s="14"/>
      <c r="F114" s="18">
        <f>F93</f>
        <v>0</v>
      </c>
      <c r="G114" s="18"/>
      <c r="H114" s="18">
        <f>H93</f>
        <v>0</v>
      </c>
      <c r="I114" s="18"/>
      <c r="J114" s="18">
        <f>J93</f>
        <v>0</v>
      </c>
      <c r="K114" s="18"/>
      <c r="L114" s="18">
        <f>L93</f>
        <v>0</v>
      </c>
      <c r="M114" s="14"/>
      <c r="N114" s="18">
        <f t="shared" si="0"/>
        <v>0</v>
      </c>
    </row>
    <row r="115" spans="1:15" x14ac:dyDescent="0.25">
      <c r="A115" s="32"/>
      <c r="B115" s="16" t="s">
        <v>175</v>
      </c>
      <c r="C115" s="14"/>
      <c r="D115" s="19">
        <f>D99</f>
        <v>0</v>
      </c>
      <c r="E115" s="14"/>
      <c r="F115" s="19">
        <f>F99</f>
        <v>0</v>
      </c>
      <c r="G115" s="18"/>
      <c r="H115" s="19">
        <f>H99</f>
        <v>0</v>
      </c>
      <c r="I115" s="18"/>
      <c r="J115" s="19">
        <f>J99</f>
        <v>0</v>
      </c>
      <c r="K115" s="18"/>
      <c r="L115" s="19">
        <f>L99</f>
        <v>0</v>
      </c>
      <c r="M115" s="14"/>
      <c r="N115" s="18">
        <f t="shared" si="0"/>
        <v>0</v>
      </c>
    </row>
    <row r="116" spans="1:15" x14ac:dyDescent="0.25">
      <c r="A116" s="32"/>
      <c r="B116" s="17" t="s">
        <v>170</v>
      </c>
      <c r="C116" s="14"/>
      <c r="D116" s="59">
        <f>D111-D112-D113-D114+D115</f>
        <v>0</v>
      </c>
      <c r="E116" s="14"/>
      <c r="F116" s="59">
        <f>F111-F112-F113-F114+F115</f>
        <v>0</v>
      </c>
      <c r="G116" s="18"/>
      <c r="H116" s="59">
        <f>H111-H112-H113-H114+H115</f>
        <v>0</v>
      </c>
      <c r="I116" s="29"/>
      <c r="J116" s="59">
        <f>J111-J112-J113-J114+J115</f>
        <v>0</v>
      </c>
      <c r="K116" s="18"/>
      <c r="L116" s="59">
        <f>L111-L112-L113-L114+L115</f>
        <v>0</v>
      </c>
      <c r="M116" s="14"/>
      <c r="N116" s="59">
        <f t="shared" si="0"/>
        <v>0</v>
      </c>
    </row>
    <row r="117" spans="1:15" x14ac:dyDescent="0.25">
      <c r="A117" s="32"/>
      <c r="B117" s="17"/>
      <c r="C117" s="14"/>
      <c r="D117" s="18"/>
      <c r="E117" s="14"/>
      <c r="F117" s="18"/>
      <c r="G117" s="18"/>
      <c r="H117" s="18"/>
      <c r="I117" s="18"/>
      <c r="J117" s="18"/>
      <c r="K117" s="18"/>
      <c r="L117" s="18"/>
      <c r="M117" s="14"/>
      <c r="N117" s="18"/>
    </row>
    <row r="118" spans="1:15" x14ac:dyDescent="0.25">
      <c r="A118" s="32"/>
      <c r="B118" s="15" t="s">
        <v>176</v>
      </c>
      <c r="C118" s="14"/>
      <c r="D118" s="18"/>
      <c r="E118" s="14"/>
      <c r="F118" s="18"/>
      <c r="G118" s="18"/>
      <c r="H118" s="18"/>
      <c r="I118" s="18"/>
      <c r="J118" s="18"/>
      <c r="K118" s="18"/>
      <c r="L118" s="18"/>
      <c r="M118" s="14"/>
      <c r="N118" s="18"/>
    </row>
    <row r="119" spans="1:15" x14ac:dyDescent="0.25">
      <c r="A119" s="32"/>
      <c r="B119" s="3" t="s">
        <v>177</v>
      </c>
      <c r="D119" s="12">
        <f>D105</f>
        <v>0</v>
      </c>
      <c r="E119" s="155"/>
      <c r="F119" s="12">
        <f>F105</f>
        <v>0</v>
      </c>
      <c r="G119" s="156"/>
      <c r="H119" s="12">
        <f>H105</f>
        <v>0</v>
      </c>
      <c r="I119" s="156"/>
      <c r="J119" s="12">
        <f>J105</f>
        <v>0</v>
      </c>
      <c r="K119" s="156"/>
      <c r="L119" s="12">
        <f>L105</f>
        <v>0</v>
      </c>
      <c r="N119" s="12">
        <f>D119+F119+H119+J119+L119</f>
        <v>0</v>
      </c>
      <c r="O119" s="150"/>
    </row>
    <row r="120" spans="1:15" x14ac:dyDescent="0.25">
      <c r="A120" s="32"/>
      <c r="B120" s="16" t="s">
        <v>178</v>
      </c>
      <c r="C120" s="14"/>
      <c r="D120" s="18">
        <f>D18</f>
        <v>0</v>
      </c>
      <c r="E120" s="58"/>
      <c r="F120" s="18">
        <f>F18</f>
        <v>0</v>
      </c>
      <c r="G120" s="57"/>
      <c r="H120" s="18">
        <f>H18</f>
        <v>0</v>
      </c>
      <c r="I120" s="57"/>
      <c r="J120" s="18">
        <f>J18</f>
        <v>0</v>
      </c>
      <c r="K120" s="57"/>
      <c r="L120" s="18">
        <f>L18</f>
        <v>0</v>
      </c>
      <c r="M120" s="14"/>
      <c r="N120" s="18">
        <f>D120+F120+H120+J120+L120</f>
        <v>0</v>
      </c>
    </row>
    <row r="121" spans="1:15" x14ac:dyDescent="0.25">
      <c r="A121" s="32"/>
      <c r="B121" s="16" t="s">
        <v>179</v>
      </c>
      <c r="C121" s="14"/>
      <c r="D121" s="18">
        <f>D19</f>
        <v>0</v>
      </c>
      <c r="E121" s="58"/>
      <c r="F121" s="18">
        <f>F19</f>
        <v>0</v>
      </c>
      <c r="G121" s="57"/>
      <c r="H121" s="18">
        <f>H19</f>
        <v>0</v>
      </c>
      <c r="I121" s="57"/>
      <c r="J121" s="18">
        <f>J19</f>
        <v>0</v>
      </c>
      <c r="K121" s="57"/>
      <c r="L121" s="18">
        <f>L19</f>
        <v>0</v>
      </c>
      <c r="M121" s="14"/>
      <c r="N121" s="19">
        <f>D121+F121+H121+J121+L121</f>
        <v>0</v>
      </c>
    </row>
    <row r="122" spans="1:15" x14ac:dyDescent="0.25">
      <c r="A122" s="32"/>
      <c r="B122" s="17" t="s">
        <v>180</v>
      </c>
      <c r="C122" s="14"/>
      <c r="D122" s="59">
        <f>D119-D120-D121</f>
        <v>0</v>
      </c>
      <c r="E122" s="58"/>
      <c r="F122" s="59">
        <f>F119-F120-F121</f>
        <v>0</v>
      </c>
      <c r="G122" s="57"/>
      <c r="H122" s="59">
        <f>H119-H120-H121</f>
        <v>0</v>
      </c>
      <c r="I122" s="57"/>
      <c r="J122" s="59">
        <f>J119-J120-J121</f>
        <v>0</v>
      </c>
      <c r="K122" s="57"/>
      <c r="L122" s="59">
        <f>L119-L120-L121</f>
        <v>0</v>
      </c>
      <c r="M122" s="14"/>
      <c r="N122" s="19">
        <f>D122+F122+H122+J122+L122</f>
        <v>0</v>
      </c>
    </row>
    <row r="123" spans="1:15" x14ac:dyDescent="0.25">
      <c r="A123" s="32"/>
      <c r="B123" s="14"/>
      <c r="C123" s="14"/>
      <c r="D123" s="14"/>
      <c r="E123" s="14"/>
      <c r="F123" s="14"/>
      <c r="G123" s="14"/>
      <c r="H123" s="14"/>
      <c r="I123" s="14"/>
      <c r="J123" s="14"/>
      <c r="K123" s="14"/>
      <c r="L123" s="14"/>
      <c r="M123" s="14"/>
      <c r="N123" s="14"/>
    </row>
    <row r="124" spans="1:15" x14ac:dyDescent="0.25">
      <c r="A124" s="32"/>
      <c r="B124" s="21" t="s">
        <v>181</v>
      </c>
      <c r="C124" s="14"/>
      <c r="D124" s="14"/>
      <c r="E124" s="14"/>
      <c r="F124" s="14"/>
      <c r="G124" s="14"/>
      <c r="H124" s="14"/>
      <c r="I124" s="14"/>
      <c r="J124" s="14"/>
      <c r="K124" s="14"/>
      <c r="L124" s="14"/>
      <c r="M124" s="14"/>
      <c r="N124" s="14"/>
    </row>
    <row r="125" spans="1:15" x14ac:dyDescent="0.25">
      <c r="A125" s="32"/>
      <c r="B125" s="16" t="s">
        <v>182</v>
      </c>
      <c r="C125" s="14"/>
      <c r="D125" s="18">
        <f>'Exh A'!D51</f>
        <v>0</v>
      </c>
      <c r="E125" s="14"/>
      <c r="F125" s="18">
        <f>'Exh A'!F51</f>
        <v>0</v>
      </c>
      <c r="G125" s="18"/>
      <c r="H125" s="18">
        <f>'Exh A'!H51</f>
        <v>0</v>
      </c>
      <c r="I125" s="18"/>
      <c r="J125" s="18">
        <f>'Exh A'!J51</f>
        <v>0</v>
      </c>
      <c r="K125" s="18"/>
      <c r="L125" s="18">
        <f>'Exh A'!L51</f>
        <v>0</v>
      </c>
      <c r="M125" s="14"/>
      <c r="N125" s="18">
        <f>D125+F125+H125+J125+L125</f>
        <v>0</v>
      </c>
    </row>
    <row r="126" spans="1:15" x14ac:dyDescent="0.25">
      <c r="A126" s="32"/>
      <c r="B126" s="16" t="s">
        <v>183</v>
      </c>
      <c r="C126" s="14"/>
      <c r="D126" s="18">
        <f>D116</f>
        <v>0</v>
      </c>
      <c r="E126" s="14"/>
      <c r="F126" s="18">
        <f>F116</f>
        <v>0</v>
      </c>
      <c r="G126" s="18"/>
      <c r="H126" s="18">
        <f>H116</f>
        <v>0</v>
      </c>
      <c r="I126" s="18"/>
      <c r="J126" s="18">
        <f>J116</f>
        <v>0</v>
      </c>
      <c r="K126" s="18"/>
      <c r="L126" s="18">
        <f>L116</f>
        <v>0</v>
      </c>
      <c r="M126" s="14"/>
      <c r="N126" s="18">
        <f>D126+F126+H126+J126+L126</f>
        <v>0</v>
      </c>
    </row>
    <row r="127" spans="1:15" x14ac:dyDescent="0.25">
      <c r="A127" s="32"/>
      <c r="B127" s="16" t="s">
        <v>184</v>
      </c>
      <c r="C127" s="14"/>
      <c r="D127" s="18">
        <f>D122</f>
        <v>0</v>
      </c>
      <c r="E127" s="14"/>
      <c r="F127" s="18">
        <f>F122</f>
        <v>0</v>
      </c>
      <c r="G127" s="18"/>
      <c r="H127" s="18">
        <f>H122</f>
        <v>0</v>
      </c>
      <c r="I127" s="18"/>
      <c r="J127" s="18">
        <f>J122</f>
        <v>0</v>
      </c>
      <c r="K127" s="18"/>
      <c r="L127" s="18">
        <f>L122</f>
        <v>0</v>
      </c>
      <c r="M127" s="14"/>
      <c r="N127" s="18">
        <f>D127+F127+H127+J127+L127</f>
        <v>0</v>
      </c>
    </row>
    <row r="128" spans="1:15" x14ac:dyDescent="0.25">
      <c r="A128" s="32"/>
      <c r="B128" s="16" t="s">
        <v>185</v>
      </c>
      <c r="C128" s="14"/>
      <c r="D128" s="19">
        <f>D104</f>
        <v>0</v>
      </c>
      <c r="E128" s="14"/>
      <c r="F128" s="19">
        <f>F104</f>
        <v>0</v>
      </c>
      <c r="G128" s="18"/>
      <c r="H128" s="19">
        <f>H104</f>
        <v>0</v>
      </c>
      <c r="I128" s="18"/>
      <c r="J128" s="19">
        <f>J104</f>
        <v>0</v>
      </c>
      <c r="K128" s="18"/>
      <c r="L128" s="19">
        <f>L104</f>
        <v>0</v>
      </c>
      <c r="M128" s="14"/>
      <c r="N128" s="19">
        <f>D128+F128+H128+J128+L128</f>
        <v>0</v>
      </c>
    </row>
    <row r="129" spans="1:14" x14ac:dyDescent="0.25">
      <c r="A129" s="32"/>
      <c r="B129" s="17" t="s">
        <v>186</v>
      </c>
      <c r="C129" s="14"/>
      <c r="D129" s="59">
        <f>D125-D126-D127-D128</f>
        <v>0</v>
      </c>
      <c r="E129" s="14"/>
      <c r="F129" s="59">
        <f>F125-F126-F127-F128</f>
        <v>0</v>
      </c>
      <c r="G129" s="18"/>
      <c r="H129" s="59">
        <f>H125-H126-H127-H128</f>
        <v>0</v>
      </c>
      <c r="I129" s="18"/>
      <c r="J129" s="59">
        <f>J125-J126-J127-J128</f>
        <v>0</v>
      </c>
      <c r="K129" s="18"/>
      <c r="L129" s="59">
        <f>L125-L126-L127-L128</f>
        <v>0</v>
      </c>
      <c r="M129" s="14"/>
      <c r="N129" s="59">
        <f>D129+F129+H129+J129+L129</f>
        <v>0</v>
      </c>
    </row>
    <row r="130" spans="1:14" x14ac:dyDescent="0.25">
      <c r="A130" s="26"/>
    </row>
    <row r="131" spans="1:14" x14ac:dyDescent="0.25">
      <c r="A131" s="24" t="s">
        <v>88</v>
      </c>
    </row>
    <row r="132" spans="1:14" x14ac:dyDescent="0.25">
      <c r="A132" s="26"/>
      <c r="B132" s="24"/>
    </row>
    <row r="133" spans="1:14" x14ac:dyDescent="0.25">
      <c r="A133" s="36" t="s">
        <v>89</v>
      </c>
      <c r="B133" s="171" t="s">
        <v>187</v>
      </c>
    </row>
    <row r="134" spans="1:14" x14ac:dyDescent="0.25">
      <c r="A134" s="26"/>
      <c r="B134" s="171" t="s">
        <v>188</v>
      </c>
    </row>
    <row r="135" spans="1:14" x14ac:dyDescent="0.25">
      <c r="A135" s="26"/>
      <c r="B135" s="171" t="s">
        <v>189</v>
      </c>
    </row>
    <row r="136" spans="1:14" x14ac:dyDescent="0.25">
      <c r="A136" s="26"/>
      <c r="B136" s="171" t="s">
        <v>190</v>
      </c>
    </row>
    <row r="137" spans="1:14" x14ac:dyDescent="0.25">
      <c r="A137" s="26"/>
      <c r="B137" s="171" t="s">
        <v>191</v>
      </c>
    </row>
    <row r="138" spans="1:14" ht="8.1" customHeight="1" x14ac:dyDescent="0.25">
      <c r="A138" s="26"/>
      <c r="B138" s="24"/>
    </row>
    <row r="139" spans="1:14" ht="12.75" customHeight="1" x14ac:dyDescent="0.25">
      <c r="A139" s="36" t="s">
        <v>92</v>
      </c>
      <c r="B139" s="171" t="s">
        <v>192</v>
      </c>
    </row>
    <row r="140" spans="1:14" ht="12.75" customHeight="1" x14ac:dyDescent="0.25">
      <c r="A140" s="26"/>
      <c r="B140" s="171" t="s">
        <v>193</v>
      </c>
    </row>
    <row r="141" spans="1:14" ht="12.75" customHeight="1" x14ac:dyDescent="0.25">
      <c r="A141" s="26"/>
      <c r="B141" s="171" t="s">
        <v>194</v>
      </c>
    </row>
    <row r="142" spans="1:14" ht="12.75" customHeight="1" x14ac:dyDescent="0.25">
      <c r="A142" s="26"/>
      <c r="B142" s="171" t="s">
        <v>195</v>
      </c>
    </row>
    <row r="143" spans="1:14" ht="12.75" customHeight="1" x14ac:dyDescent="0.25">
      <c r="A143" s="26"/>
      <c r="B143" s="171" t="s">
        <v>196</v>
      </c>
    </row>
    <row r="144" spans="1:14" ht="12.75" customHeight="1" x14ac:dyDescent="0.25">
      <c r="A144" s="26"/>
      <c r="B144" s="171" t="s">
        <v>197</v>
      </c>
    </row>
    <row r="145" spans="1:8" ht="8.1" customHeight="1" x14ac:dyDescent="0.25">
      <c r="A145" s="26"/>
      <c r="B145" s="171"/>
    </row>
    <row r="146" spans="1:8" x14ac:dyDescent="0.25">
      <c r="A146" s="36" t="s">
        <v>96</v>
      </c>
      <c r="B146" s="171" t="s">
        <v>198</v>
      </c>
    </row>
    <row r="147" spans="1:8" x14ac:dyDescent="0.25">
      <c r="A147" s="26"/>
      <c r="B147" s="171" t="s">
        <v>199</v>
      </c>
    </row>
    <row r="148" spans="1:8" x14ac:dyDescent="0.25">
      <c r="A148" s="26"/>
      <c r="B148" t="s">
        <v>200</v>
      </c>
    </row>
    <row r="149" spans="1:8" x14ac:dyDescent="0.25">
      <c r="A149" s="26"/>
      <c r="B149" t="s">
        <v>201</v>
      </c>
    </row>
    <row r="150" spans="1:8" ht="8.1" customHeight="1" x14ac:dyDescent="0.25">
      <c r="A150" s="26"/>
    </row>
    <row r="151" spans="1:8" ht="12.75" customHeight="1" x14ac:dyDescent="0.25">
      <c r="A151" s="36" t="s">
        <v>202</v>
      </c>
      <c r="B151" t="s">
        <v>203</v>
      </c>
    </row>
    <row r="152" spans="1:8" ht="12.75" customHeight="1" x14ac:dyDescent="0.25">
      <c r="B152" t="s">
        <v>204</v>
      </c>
    </row>
    <row r="153" spans="1:8" ht="12.75" customHeight="1" x14ac:dyDescent="0.25">
      <c r="A153" s="26"/>
      <c r="B153" t="s">
        <v>205</v>
      </c>
    </row>
    <row r="154" spans="1:8" ht="12.75" customHeight="1" x14ac:dyDescent="0.25">
      <c r="A154" s="26"/>
      <c r="B154" t="s">
        <v>206</v>
      </c>
    </row>
    <row r="155" spans="1:8" ht="12.75" customHeight="1" x14ac:dyDescent="0.25">
      <c r="A155" s="26"/>
      <c r="B155" t="s">
        <v>207</v>
      </c>
    </row>
    <row r="156" spans="1:8" ht="12.75" customHeight="1" x14ac:dyDescent="0.25">
      <c r="A156" s="26"/>
      <c r="B156" s="171" t="s">
        <v>208</v>
      </c>
    </row>
    <row r="157" spans="1:8" ht="12.75" customHeight="1" x14ac:dyDescent="0.25">
      <c r="A157" s="26"/>
      <c r="B157" t="s">
        <v>209</v>
      </c>
    </row>
    <row r="158" spans="1:8" ht="8.1" customHeight="1" x14ac:dyDescent="0.25">
      <c r="A158" s="26"/>
    </row>
    <row r="159" spans="1:8" ht="144" customHeight="1" x14ac:dyDescent="0.25">
      <c r="A159" s="157" t="s">
        <v>210</v>
      </c>
      <c r="B159" s="356" t="s">
        <v>211</v>
      </c>
      <c r="C159" s="357"/>
      <c r="D159" s="357"/>
      <c r="E159" s="357"/>
      <c r="F159" s="357"/>
      <c r="G159" s="357"/>
      <c r="H159" s="357"/>
    </row>
    <row r="160" spans="1:8" ht="12.75" customHeight="1" x14ac:dyDescent="0.25">
      <c r="A160" s="26"/>
    </row>
    <row r="161" spans="1:1" ht="12.75" customHeight="1" x14ac:dyDescent="0.25">
      <c r="A161" s="26"/>
    </row>
  </sheetData>
  <sheetProtection algorithmName="SHA-512" hashValue="SWe3KpLbSAGK/dwdBP43O39JxFPcC3Of297hX+yk3Rumd0ubIBOQS/VNmDOvM4M95qEHPkYqTAsXacCeUREZNg==" saltValue="4qPfs7F4/1hx74/0+uhzfw==" spinCount="100000" sheet="1" autoFilter="0"/>
  <mergeCells count="8">
    <mergeCell ref="B159:H159"/>
    <mergeCell ref="A73:B73"/>
    <mergeCell ref="A7:B7"/>
    <mergeCell ref="L4:L6"/>
    <mergeCell ref="D4:D6"/>
    <mergeCell ref="F4:F6"/>
    <mergeCell ref="H4:H6"/>
    <mergeCell ref="J4:J6"/>
  </mergeCells>
  <phoneticPr fontId="0" type="noConversion"/>
  <conditionalFormatting sqref="D13 F13 H13 J13 L13 D21 F21 H21 J21 L21 D27 F27 H27 J27 L27 D33 F33 H33 J33 L33 D39:D40 F39:F40 H39:H40 J39:J40 L39:L40 D45 F45 H45 J45 L45 D51 F51 H51 J51 L51 D57 F57 H57 J57 L57 D64 F64 H64 J64 L64 D80:D83 F80:F83 H80:H83 J80:J83 L80:L83 D86 F86 H86 J86 L86 D90:D92 F90:F92 H90:H92 J90:J92 L90:L92 D96:D97 F96:F97 H96:H97 J96:J97 L96:L97 F108 H108 J108 L108">
    <cfRule type="cellIs" dxfId="65" priority="4" stopIfTrue="1" operator="equal">
      <formula>"ERROR"</formula>
    </cfRule>
  </conditionalFormatting>
  <conditionalFormatting sqref="D70 F70 H70 J70 L70">
    <cfRule type="cellIs" dxfId="64" priority="1" stopIfTrue="1" operator="equal">
      <formula>"ERROR"</formula>
    </cfRule>
  </conditionalFormatting>
  <conditionalFormatting sqref="E107:N107">
    <cfRule type="cellIs" dxfId="63" priority="3" stopIfTrue="1" operator="equal">
      <formula>"ERROR"</formula>
    </cfRule>
  </conditionalFormatting>
  <conditionalFormatting sqref="F103:F106 H103:H106 J103:J106 L103:L106 D103:D108">
    <cfRule type="cellIs" dxfId="62" priority="2" stopIfTrue="1" operator="equal">
      <formula>"ERROR"</formula>
    </cfRule>
  </conditionalFormatting>
  <pageMargins left="0.3" right="0.3" top="0.4" bottom="0.4" header="0.5" footer="0.2"/>
  <pageSetup orientation="landscape" r:id="rId1"/>
  <headerFooter alignWithMargins="0">
    <oddFooter>&amp;L&amp;F &amp;A&amp;C&amp;P of &amp;N&amp;R&amp;D</oddFooter>
  </headerFooter>
  <rowBreaks count="2" manualBreakCount="2">
    <brk id="46" max="16383" man="1"/>
    <brk id="130" max="16383" man="1"/>
  </rowBreaks>
  <ignoredErrors>
    <ignoredError sqref="A133 A139 A146 A15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60"/>
  <sheetViews>
    <sheetView workbookViewId="0">
      <pane xSplit="2" ySplit="5" topLeftCell="C6" activePane="bottomRight" state="frozen"/>
      <selection pane="topRight" activeCell="A22" sqref="A22"/>
      <selection pane="bottomLeft" activeCell="A22" sqref="A22"/>
      <selection pane="bottomRight" activeCell="F13" sqref="F13"/>
    </sheetView>
  </sheetViews>
  <sheetFormatPr defaultRowHeight="13.2" x14ac:dyDescent="0.25"/>
  <cols>
    <col min="1" max="1" width="3.6640625" customWidth="1"/>
    <col min="2" max="2" width="48.6640625" customWidth="1"/>
    <col min="3" max="3" width="1.6640625" customWidth="1"/>
    <col min="4" max="4" width="13.5546875" customWidth="1"/>
    <col min="5" max="5" width="1.6640625" customWidth="1"/>
    <col min="6" max="6" width="19" customWidth="1"/>
    <col min="7" max="7" width="2.6640625" customWidth="1"/>
    <col min="8" max="8" width="17.33203125" customWidth="1"/>
    <col min="9" max="9" width="2.109375" customWidth="1"/>
    <col min="10" max="10" width="10" customWidth="1"/>
    <col min="12" max="12" width="23.6640625" style="162" customWidth="1"/>
    <col min="13" max="13" width="12.6640625" style="163" customWidth="1"/>
    <col min="15" max="15" width="12.44140625" customWidth="1"/>
    <col min="16" max="16" width="10.6640625" customWidth="1"/>
  </cols>
  <sheetData>
    <row r="1" spans="1:17" ht="12.75" customHeight="1" x14ac:dyDescent="0.3">
      <c r="A1" s="1" t="e">
        <f>CONCATENATE(Info!D7," Foundations")</f>
        <v>#N/A</v>
      </c>
      <c r="C1" s="171"/>
      <c r="D1" s="30" t="s">
        <v>212</v>
      </c>
      <c r="E1" s="171"/>
      <c r="O1" s="164" t="s">
        <v>213</v>
      </c>
      <c r="P1" s="170" t="s">
        <v>214</v>
      </c>
    </row>
    <row r="2" spans="1:17" ht="12.75" customHeight="1" x14ac:dyDescent="0.3">
      <c r="A2" s="1" t="s">
        <v>215</v>
      </c>
      <c r="C2" s="171"/>
      <c r="D2" s="171"/>
      <c r="E2" s="171"/>
      <c r="M2" s="165"/>
      <c r="O2" s="164" t="s">
        <v>216</v>
      </c>
      <c r="P2" s="164" t="str">
        <f>F3</f>
        <v>Select College Foundation Number</v>
      </c>
      <c r="Q2" s="166" t="s">
        <v>217</v>
      </c>
    </row>
    <row r="3" spans="1:17" ht="15.6" x14ac:dyDescent="0.25">
      <c r="A3" s="75" t="s">
        <v>218</v>
      </c>
      <c r="C3" s="171"/>
      <c r="D3" s="171"/>
      <c r="E3" s="171"/>
      <c r="F3" s="26" t="str">
        <f>Info!D6</f>
        <v>Select College Foundation Number</v>
      </c>
      <c r="M3" s="165"/>
    </row>
    <row r="4" spans="1:17" ht="12.75" customHeight="1" x14ac:dyDescent="0.25">
      <c r="A4" s="209" t="str">
        <f>' Use Stmt'!A4</f>
        <v>For the Year Ended June 30, 2025</v>
      </c>
      <c r="M4" s="165"/>
    </row>
    <row r="5" spans="1:17" ht="12.75" customHeight="1" x14ac:dyDescent="0.25">
      <c r="D5" s="189" t="s">
        <v>219</v>
      </c>
      <c r="F5" s="4" t="s">
        <v>220</v>
      </c>
      <c r="H5" s="4" t="s">
        <v>221</v>
      </c>
      <c r="J5" s="4" t="s">
        <v>222</v>
      </c>
      <c r="M5" s="165"/>
    </row>
    <row r="6" spans="1:17" x14ac:dyDescent="0.25">
      <c r="B6" s="1" t="s">
        <v>223</v>
      </c>
      <c r="M6" s="165"/>
    </row>
    <row r="7" spans="1:17" x14ac:dyDescent="0.25">
      <c r="A7" s="32">
        <v>100</v>
      </c>
      <c r="B7" s="3" t="s">
        <v>48</v>
      </c>
      <c r="D7" s="27">
        <f ca="1">SUMIF(FASB_BS,A7,'Exh A'!$N$9:$N$45)</f>
        <v>0</v>
      </c>
      <c r="E7" s="12"/>
      <c r="F7" s="27" t="e">
        <f>HLOOKUP($F$3,PriorYrExhD!$E$1:$BJ$29,7,FALSE)</f>
        <v>#N/A</v>
      </c>
      <c r="H7" s="104" t="e">
        <f ca="1">D7-F7</f>
        <v>#N/A</v>
      </c>
      <c r="J7" s="105" t="e">
        <f>IF(F7=0,0,H7/F7)</f>
        <v>#N/A</v>
      </c>
      <c r="L7" s="162">
        <v>11111000</v>
      </c>
      <c r="M7" s="165"/>
    </row>
    <row r="8" spans="1:17" x14ac:dyDescent="0.25">
      <c r="A8" s="32">
        <v>105</v>
      </c>
      <c r="B8" s="3" t="s">
        <v>50</v>
      </c>
      <c r="D8" s="12">
        <f ca="1">SUMIF(FASB_BS,A8,'Exh A'!$N$9:$N$45)+SUMIF(FASB_ADJ,A8,Adjustments!$N$9:$N$78)</f>
        <v>0</v>
      </c>
      <c r="E8" s="12"/>
      <c r="F8" s="12" t="e">
        <f>HLOOKUP($F$3,PriorYrExhD!$E$1:$BJ$29,8,FALSE)</f>
        <v>#N/A</v>
      </c>
      <c r="H8" s="104" t="e">
        <f t="shared" ref="H8:H17" ca="1" si="0">D8-F8</f>
        <v>#N/A</v>
      </c>
      <c r="J8" s="105" t="e">
        <f t="shared" ref="J8:J17" si="1">IF(F8=0,0,H8/F8)</f>
        <v>#N/A</v>
      </c>
      <c r="L8" s="162">
        <v>11210100</v>
      </c>
    </row>
    <row r="9" spans="1:17" x14ac:dyDescent="0.25">
      <c r="A9" s="32">
        <v>110</v>
      </c>
      <c r="B9" s="3" t="s">
        <v>57</v>
      </c>
      <c r="D9" s="12">
        <f ca="1">SUMIF(FASB_BS,A9,'Exh A'!$N$9:$N$45)</f>
        <v>0</v>
      </c>
      <c r="E9" s="12"/>
      <c r="F9" s="12" t="e">
        <f>HLOOKUP($F$3,PriorYrExhD!$E$1:$BJ$29,9,FALSE)</f>
        <v>#N/A</v>
      </c>
      <c r="H9" s="104" t="e">
        <f t="shared" ca="1" si="0"/>
        <v>#N/A</v>
      </c>
      <c r="J9" s="105" t="e">
        <f t="shared" si="1"/>
        <v>#N/A</v>
      </c>
      <c r="L9" s="162">
        <v>11320000</v>
      </c>
    </row>
    <row r="10" spans="1:17" x14ac:dyDescent="0.25">
      <c r="A10" s="32">
        <v>115</v>
      </c>
      <c r="B10" s="3" t="s">
        <v>59</v>
      </c>
      <c r="D10" s="12">
        <f ca="1">SUMIF(FASB_BS,A10,'Exh A'!$N$9:$N$45)</f>
        <v>0</v>
      </c>
      <c r="E10" s="12"/>
      <c r="F10" s="12" t="e">
        <f>HLOOKUP($F$3,PriorYrExhD!$E$1:$BJ$29,10,FALSE)</f>
        <v>#N/A</v>
      </c>
      <c r="H10" s="104" t="e">
        <f t="shared" ca="1" si="0"/>
        <v>#N/A</v>
      </c>
      <c r="J10" s="105" t="e">
        <f t="shared" si="1"/>
        <v>#N/A</v>
      </c>
      <c r="L10" s="162">
        <v>11611000</v>
      </c>
    </row>
    <row r="11" spans="1:17" x14ac:dyDescent="0.25">
      <c r="A11" s="32">
        <v>120</v>
      </c>
      <c r="B11" s="3" t="s">
        <v>224</v>
      </c>
      <c r="D11" s="12">
        <f ca="1">SUMIF(FASB_BS,A11,'Exh A'!$N$9:$N$45)</f>
        <v>0</v>
      </c>
      <c r="E11" s="12"/>
      <c r="F11" s="12" t="e">
        <f>HLOOKUP($F$3,PriorYrExhD!$E$1:$BJ$29,11,FALSE)</f>
        <v>#N/A</v>
      </c>
      <c r="H11" s="104" t="e">
        <f t="shared" ca="1" si="0"/>
        <v>#N/A</v>
      </c>
      <c r="J11" s="105" t="e">
        <f t="shared" si="1"/>
        <v>#N/A</v>
      </c>
      <c r="L11" s="162">
        <v>11910000</v>
      </c>
    </row>
    <row r="12" spans="1:17" x14ac:dyDescent="0.25">
      <c r="A12" s="32">
        <v>125</v>
      </c>
      <c r="B12" s="3" t="s">
        <v>225</v>
      </c>
      <c r="D12" s="12">
        <f ca="1">SUMIF(FASB_BS,A12,'Exh A'!$N$9:$N$45)</f>
        <v>0</v>
      </c>
      <c r="E12" s="12"/>
      <c r="F12" s="12" t="e">
        <f>HLOOKUP($F$3,PriorYrExhD!$E$1:$BJ$29,12,FALSE)</f>
        <v>#N/A</v>
      </c>
      <c r="H12" s="104" t="e">
        <f t="shared" ca="1" si="0"/>
        <v>#N/A</v>
      </c>
      <c r="J12" s="105" t="e">
        <f t="shared" si="1"/>
        <v>#N/A</v>
      </c>
      <c r="L12" s="162">
        <v>11510000</v>
      </c>
    </row>
    <row r="13" spans="1:17" x14ac:dyDescent="0.25">
      <c r="A13" s="32">
        <v>126</v>
      </c>
      <c r="B13" s="313" t="s">
        <v>703</v>
      </c>
      <c r="D13" s="12">
        <f ca="1">SUMIF(FASB_BS,A13,'Exh A'!$N$9:$N$45)</f>
        <v>0</v>
      </c>
      <c r="E13" s="12"/>
      <c r="F13" s="12">
        <v>0</v>
      </c>
      <c r="H13" s="104">
        <f t="shared" ref="H13" ca="1" si="2">D13-F13</f>
        <v>0</v>
      </c>
      <c r="J13" s="105">
        <f t="shared" ref="J13" si="3">IF(F13=0,0,H13/F13)</f>
        <v>0</v>
      </c>
      <c r="L13" s="312">
        <v>11351000</v>
      </c>
    </row>
    <row r="14" spans="1:17" x14ac:dyDescent="0.25">
      <c r="A14" s="32">
        <v>128</v>
      </c>
      <c r="B14" s="3" t="s">
        <v>226</v>
      </c>
      <c r="D14" s="12">
        <f ca="1">SUMIF(FASB_BS,A14,'Exh A'!$N$9:$N$45)</f>
        <v>0</v>
      </c>
      <c r="E14" s="12"/>
      <c r="F14" s="12" t="e">
        <f>HLOOKUP($F$3,PriorYrExhD!$E$1:$BJ$29,13,FALSE)</f>
        <v>#N/A</v>
      </c>
      <c r="H14" s="104" t="e">
        <f t="shared" ref="H14" ca="1" si="4">D14-F14</f>
        <v>#N/A</v>
      </c>
      <c r="J14" s="105" t="e">
        <f t="shared" ref="J14" si="5">IF(F14=0,0,H14/F14)</f>
        <v>#N/A</v>
      </c>
      <c r="L14" s="162">
        <v>11530000</v>
      </c>
    </row>
    <row r="15" spans="1:17" x14ac:dyDescent="0.25">
      <c r="A15" s="32">
        <v>130</v>
      </c>
      <c r="B15" s="3" t="s">
        <v>227</v>
      </c>
      <c r="D15" s="12">
        <f ca="1">SUMIF(FASB_ADJ,A15,Adjustments!$N$9:$N$78)</f>
        <v>0</v>
      </c>
      <c r="E15" s="12"/>
      <c r="F15" s="12" t="e">
        <f>HLOOKUP($F$3,PriorYrExhD!$E$1:$BJ$29,14,FALSE)</f>
        <v>#N/A</v>
      </c>
      <c r="H15" s="104" t="e">
        <f t="shared" ca="1" si="0"/>
        <v>#N/A</v>
      </c>
      <c r="J15" s="105" t="e">
        <f t="shared" si="1"/>
        <v>#N/A</v>
      </c>
      <c r="L15" s="162">
        <v>11212500</v>
      </c>
    </row>
    <row r="16" spans="1:17" x14ac:dyDescent="0.25">
      <c r="A16" s="32">
        <v>140</v>
      </c>
      <c r="B16" s="3" t="s">
        <v>228</v>
      </c>
      <c r="D16" s="12">
        <f ca="1">SUMIF(FASB_ADJ,A16,Adjustments!$N$9:$N$78)</f>
        <v>0</v>
      </c>
      <c r="E16" s="12"/>
      <c r="F16" s="12" t="e">
        <f>HLOOKUP($F$3,PriorYrExhD!$E$1:$BJ$29,15,FALSE)</f>
        <v>#N/A</v>
      </c>
      <c r="H16" s="104" t="e">
        <f t="shared" ca="1" si="0"/>
        <v>#N/A</v>
      </c>
      <c r="J16" s="105" t="e">
        <f t="shared" si="1"/>
        <v>#N/A</v>
      </c>
      <c r="L16" s="162">
        <v>12700000</v>
      </c>
    </row>
    <row r="17" spans="1:12" x14ac:dyDescent="0.25">
      <c r="A17" s="32">
        <v>145</v>
      </c>
      <c r="B17" s="3" t="s">
        <v>229</v>
      </c>
      <c r="D17" s="12">
        <f ca="1">SUMIF(FASB_ADJ,A17,Adjustments!$N$9:$N$78)</f>
        <v>0</v>
      </c>
      <c r="E17" s="12"/>
      <c r="F17" s="12" t="e">
        <f>HLOOKUP($F$3,PriorYrExhD!$E$1:$BJ$29,16,FALSE)</f>
        <v>#N/A</v>
      </c>
      <c r="H17" s="104" t="e">
        <f t="shared" ca="1" si="0"/>
        <v>#N/A</v>
      </c>
      <c r="J17" s="105" t="e">
        <f t="shared" si="1"/>
        <v>#N/A</v>
      </c>
      <c r="L17" s="162">
        <v>12710000</v>
      </c>
    </row>
    <row r="18" spans="1:12" x14ac:dyDescent="0.25">
      <c r="A18" s="32"/>
      <c r="B18" s="1" t="s">
        <v>66</v>
      </c>
      <c r="D18" s="20">
        <f ca="1">SUM(D7:D17)</f>
        <v>0</v>
      </c>
      <c r="E18" s="12"/>
      <c r="F18" s="20" t="e">
        <f>SUM(F7:F17)</f>
        <v>#N/A</v>
      </c>
    </row>
    <row r="19" spans="1:12" ht="6" customHeight="1" x14ac:dyDescent="0.25">
      <c r="A19" s="32"/>
      <c r="B19" s="1"/>
    </row>
    <row r="20" spans="1:12" x14ac:dyDescent="0.25">
      <c r="A20" s="32"/>
      <c r="B20" s="1" t="s">
        <v>230</v>
      </c>
    </row>
    <row r="21" spans="1:12" x14ac:dyDescent="0.25">
      <c r="A21" s="32">
        <v>200</v>
      </c>
      <c r="B21" s="184" t="s">
        <v>231</v>
      </c>
      <c r="D21" s="12">
        <f ca="1">SUMIF(FASB_BS,A21,'Exh A'!$N$9:$N$45)</f>
        <v>0</v>
      </c>
      <c r="E21" s="12"/>
      <c r="F21" s="12" t="e">
        <f>HLOOKUP($F$3,PriorYrExhD!$E$1:$BJ$29,20,FALSE)</f>
        <v>#N/A</v>
      </c>
      <c r="H21" s="104" t="e">
        <f t="shared" ref="H21:H30" ca="1" si="6">D21-F21</f>
        <v>#N/A</v>
      </c>
      <c r="J21" s="105" t="e">
        <f t="shared" ref="J21:J30" si="7">IF(F21=0,0,H21/F21)</f>
        <v>#N/A</v>
      </c>
      <c r="L21" s="162">
        <v>21110000</v>
      </c>
    </row>
    <row r="22" spans="1:12" ht="15.6" x14ac:dyDescent="0.25">
      <c r="A22" s="32">
        <v>202</v>
      </c>
      <c r="B22" s="184" t="s">
        <v>232</v>
      </c>
      <c r="D22" s="12">
        <f ca="1">SUMIF(FASB_BS,A22,'Exh A'!$N$9:$N$45)</f>
        <v>0</v>
      </c>
      <c r="E22" s="12"/>
      <c r="F22" s="12" t="e">
        <f>HLOOKUP($F$3,PriorYrExhD!$E$1:$BJ$29,21,FALSE)</f>
        <v>#N/A</v>
      </c>
      <c r="H22" s="104" t="e">
        <f t="shared" ca="1" si="6"/>
        <v>#N/A</v>
      </c>
      <c r="J22" s="105" t="e">
        <f t="shared" si="7"/>
        <v>#N/A</v>
      </c>
      <c r="L22" s="162">
        <v>21270000</v>
      </c>
    </row>
    <row r="23" spans="1:12" ht="15.6" x14ac:dyDescent="0.25">
      <c r="A23" s="32">
        <v>203</v>
      </c>
      <c r="B23" s="184" t="s">
        <v>233</v>
      </c>
      <c r="D23" s="12">
        <f ca="1">SUMIF(FASB_BS,A23,'Exh A'!$N$9:$N$45)</f>
        <v>0</v>
      </c>
      <c r="E23" s="12"/>
      <c r="F23" s="12" t="e">
        <f>HLOOKUP($F$3,PriorYrExhD!$E$1:$BJ$29,22,FALSE)</f>
        <v>#N/A</v>
      </c>
      <c r="H23" s="104" t="e">
        <f t="shared" ca="1" si="6"/>
        <v>#N/A</v>
      </c>
      <c r="J23" s="105" t="e">
        <f t="shared" si="7"/>
        <v>#N/A</v>
      </c>
      <c r="L23" s="162" t="s">
        <v>234</v>
      </c>
    </row>
    <row r="24" spans="1:12" x14ac:dyDescent="0.25">
      <c r="A24" s="32">
        <v>205</v>
      </c>
      <c r="B24" s="184" t="s">
        <v>71</v>
      </c>
      <c r="D24" s="12">
        <f ca="1">SUMIF(FASB_BS,A24,'Exh A'!$N$9:$N$45)</f>
        <v>0</v>
      </c>
      <c r="E24" s="12"/>
      <c r="F24" s="12" t="e">
        <f>HLOOKUP($F$3,PriorYrExhD!$E$1:$BJ$29,23,FALSE)</f>
        <v>#N/A</v>
      </c>
      <c r="H24" s="104" t="e">
        <f t="shared" ca="1" si="6"/>
        <v>#N/A</v>
      </c>
      <c r="J24" s="105" t="e">
        <f t="shared" si="7"/>
        <v>#N/A</v>
      </c>
      <c r="L24" s="162">
        <v>21811000</v>
      </c>
    </row>
    <row r="25" spans="1:12" x14ac:dyDescent="0.25">
      <c r="A25" s="32">
        <v>210</v>
      </c>
      <c r="B25" s="184" t="s">
        <v>72</v>
      </c>
      <c r="D25" s="12">
        <f ca="1">SUMIF(FASB_BS,A25,'Exh A'!$N$9:$N$45)</f>
        <v>0</v>
      </c>
      <c r="E25" s="12"/>
      <c r="F25" s="12" t="e">
        <f>HLOOKUP($F$3,PriorYrExhD!$E$1:$BJ$29,24,FALSE)</f>
        <v>#N/A</v>
      </c>
      <c r="H25" s="104" t="e">
        <f t="shared" ca="1" si="6"/>
        <v>#N/A</v>
      </c>
      <c r="J25" s="105" t="e">
        <f t="shared" si="7"/>
        <v>#N/A</v>
      </c>
      <c r="L25" s="162">
        <v>21622000</v>
      </c>
    </row>
    <row r="26" spans="1:12" x14ac:dyDescent="0.25">
      <c r="A26" s="32">
        <v>215</v>
      </c>
      <c r="B26" s="184" t="s">
        <v>73</v>
      </c>
      <c r="D26" s="12">
        <f ca="1">SUMIF(FASB_BS,A26,'Exh A'!$N$9:$N$45)</f>
        <v>0</v>
      </c>
      <c r="E26" s="12"/>
      <c r="F26" s="12" t="e">
        <f>HLOOKUP($F$3,PriorYrExhD!$E$1:$BJ$29,25,FALSE)</f>
        <v>#N/A</v>
      </c>
      <c r="H26" s="104" t="e">
        <f t="shared" ca="1" si="6"/>
        <v>#N/A</v>
      </c>
      <c r="J26" s="105" t="e">
        <f t="shared" si="7"/>
        <v>#N/A</v>
      </c>
      <c r="L26" s="162">
        <v>21712000</v>
      </c>
    </row>
    <row r="27" spans="1:12" x14ac:dyDescent="0.25">
      <c r="A27" s="32">
        <v>220</v>
      </c>
      <c r="B27" s="184" t="s">
        <v>74</v>
      </c>
      <c r="D27" s="12">
        <f ca="1">SUMIF(FASB_BS,A27,'Exh A'!$N$9:$N$45)</f>
        <v>0</v>
      </c>
      <c r="E27" s="12"/>
      <c r="F27" s="12" t="e">
        <f>HLOOKUP($F$3,PriorYrExhD!$E$1:$BJ$29,26,FALSE)</f>
        <v>#N/A</v>
      </c>
      <c r="H27" s="104" t="e">
        <f t="shared" ca="1" si="6"/>
        <v>#N/A</v>
      </c>
      <c r="J27" s="105" t="e">
        <f t="shared" si="7"/>
        <v>#N/A</v>
      </c>
      <c r="L27" s="162">
        <v>21719000</v>
      </c>
    </row>
    <row r="28" spans="1:12" x14ac:dyDescent="0.25">
      <c r="A28" s="32"/>
      <c r="B28" s="184" t="s">
        <v>235</v>
      </c>
      <c r="D28" s="12">
        <f ca="1">SUMIF(FASB_ADJ,A28,Adjustments!$N$9:$N$62)</f>
        <v>0</v>
      </c>
      <c r="E28" s="12"/>
      <c r="F28" s="12" t="e">
        <f>HLOOKUP($F$3,PriorYrExhD!$E$1:$BJ$29,27,FALSE)</f>
        <v>#N/A</v>
      </c>
      <c r="H28" s="104" t="e">
        <f t="shared" ca="1" si="6"/>
        <v>#N/A</v>
      </c>
      <c r="J28" s="105" t="e">
        <f t="shared" si="7"/>
        <v>#N/A</v>
      </c>
    </row>
    <row r="29" spans="1:12" x14ac:dyDescent="0.25">
      <c r="A29" s="32">
        <v>260</v>
      </c>
      <c r="B29" s="190" t="s">
        <v>236</v>
      </c>
      <c r="D29" s="12">
        <f ca="1">SUMIF(FASB_ADJ,A29,Adjustments!$N$9:$N$62)</f>
        <v>0</v>
      </c>
      <c r="E29" s="12"/>
      <c r="F29" s="12" t="e">
        <f>HLOOKUP($F$3,PriorYrExhD!$E$1:$BJ$29,28,FALSE)</f>
        <v>#N/A</v>
      </c>
      <c r="H29" s="104" t="e">
        <f t="shared" ca="1" si="6"/>
        <v>#N/A</v>
      </c>
      <c r="J29" s="105" t="e">
        <f t="shared" si="7"/>
        <v>#N/A</v>
      </c>
      <c r="L29" s="162" t="s">
        <v>237</v>
      </c>
    </row>
    <row r="30" spans="1:12" x14ac:dyDescent="0.25">
      <c r="A30" s="32">
        <v>261</v>
      </c>
      <c r="B30" s="190" t="s">
        <v>238</v>
      </c>
      <c r="D30" s="10">
        <f ca="1">SUMIF(FASB_ADJ,A30,Adjustments!$N$9:$N$62)</f>
        <v>0</v>
      </c>
      <c r="E30" s="12"/>
      <c r="F30" s="12" t="e">
        <f>HLOOKUP($F$3,PriorYrExhD!$E$1:$BJ$29,29,FALSE)</f>
        <v>#N/A</v>
      </c>
      <c r="H30" s="104" t="e">
        <f t="shared" ca="1" si="6"/>
        <v>#N/A</v>
      </c>
      <c r="J30" s="105" t="e">
        <f t="shared" si="7"/>
        <v>#N/A</v>
      </c>
      <c r="L30" s="162" t="s">
        <v>239</v>
      </c>
    </row>
    <row r="31" spans="1:12" x14ac:dyDescent="0.25">
      <c r="B31" s="1" t="s">
        <v>82</v>
      </c>
      <c r="D31" s="10">
        <f ca="1">SUM(D21:D30)</f>
        <v>0</v>
      </c>
      <c r="E31" s="12"/>
      <c r="F31" s="20" t="e">
        <f>SUM(F21:F30)</f>
        <v>#N/A</v>
      </c>
    </row>
    <row r="32" spans="1:12" ht="6" customHeight="1" x14ac:dyDescent="0.25">
      <c r="B32" s="171"/>
    </row>
    <row r="33" spans="1:13" x14ac:dyDescent="0.25">
      <c r="B33" s="1" t="s">
        <v>240</v>
      </c>
    </row>
    <row r="34" spans="1:13" x14ac:dyDescent="0.25">
      <c r="A34" s="31">
        <v>300</v>
      </c>
      <c r="B34" t="s">
        <v>170</v>
      </c>
      <c r="D34" s="12">
        <f>Adjustments!N116</f>
        <v>0</v>
      </c>
      <c r="E34" s="12"/>
      <c r="F34" s="12" t="e">
        <f>HLOOKUP($F$3,PriorYrExhD!$E$1:$BJ$39,33,FALSE)</f>
        <v>#N/A</v>
      </c>
      <c r="H34" s="104" t="e">
        <f>D34-F34</f>
        <v>#N/A</v>
      </c>
      <c r="J34" s="105" t="e">
        <f>IF(F34=0,0,H34/F34)</f>
        <v>#N/A</v>
      </c>
      <c r="L34" s="162" t="s">
        <v>241</v>
      </c>
      <c r="M34" s="167" t="s">
        <v>242</v>
      </c>
    </row>
    <row r="35" spans="1:13" x14ac:dyDescent="0.25">
      <c r="A35" s="31"/>
      <c r="B35" t="s">
        <v>243</v>
      </c>
      <c r="M35" s="167"/>
    </row>
    <row r="36" spans="1:13" x14ac:dyDescent="0.25">
      <c r="A36" s="31"/>
      <c r="B36" s="3" t="s">
        <v>244</v>
      </c>
      <c r="M36" s="167"/>
    </row>
    <row r="37" spans="1:13" x14ac:dyDescent="0.25">
      <c r="A37" s="31">
        <v>310</v>
      </c>
      <c r="B37" s="2" t="s">
        <v>245</v>
      </c>
      <c r="D37" s="12">
        <f>Adjustments!N104</f>
        <v>0</v>
      </c>
      <c r="E37" s="12"/>
      <c r="F37" s="12" t="e">
        <f>HLOOKUP($F$3,PriorYrExhD!$E$1:$BJ$39,36,FALSE)</f>
        <v>#N/A</v>
      </c>
      <c r="H37" s="104" t="e">
        <f>D37-F37</f>
        <v>#N/A</v>
      </c>
      <c r="J37" s="105" t="e">
        <f>IF(F37=0,0,H37/F37)</f>
        <v>#N/A</v>
      </c>
      <c r="K37" s="150"/>
      <c r="L37" s="162" t="s">
        <v>246</v>
      </c>
      <c r="M37" s="167" t="s">
        <v>247</v>
      </c>
    </row>
    <row r="38" spans="1:13" x14ac:dyDescent="0.25">
      <c r="A38" s="31"/>
      <c r="B38" s="3" t="s">
        <v>248</v>
      </c>
      <c r="M38" s="167"/>
    </row>
    <row r="39" spans="1:13" x14ac:dyDescent="0.25">
      <c r="A39" s="31">
        <v>320</v>
      </c>
      <c r="B39" s="2" t="s">
        <v>245</v>
      </c>
      <c r="D39" s="12">
        <f>Adjustments!N122</f>
        <v>0</v>
      </c>
      <c r="E39" s="12"/>
      <c r="F39" s="12" t="e">
        <f>HLOOKUP($F$3,PriorYrExhD!$E$1:$BJ$39,38,FALSE)</f>
        <v>#N/A</v>
      </c>
      <c r="H39" s="104" t="e">
        <f>D39-F39</f>
        <v>#N/A</v>
      </c>
      <c r="J39" s="105" t="e">
        <f>IF(F39=0,0,H39/F39)</f>
        <v>#N/A</v>
      </c>
      <c r="L39" s="162" t="s">
        <v>249</v>
      </c>
      <c r="M39" s="167" t="s">
        <v>247</v>
      </c>
    </row>
    <row r="40" spans="1:13" x14ac:dyDescent="0.25">
      <c r="A40" s="31">
        <v>330</v>
      </c>
      <c r="B40" t="s">
        <v>250</v>
      </c>
      <c r="D40" s="12">
        <f>Adjustments!N129</f>
        <v>0</v>
      </c>
      <c r="E40" s="12"/>
      <c r="F40" s="12" t="e">
        <f>HLOOKUP($F$3,PriorYrExhD!$E$1:$BJ$39,39,FALSE)</f>
        <v>#N/A</v>
      </c>
      <c r="H40" s="104" t="e">
        <f>D40-F40</f>
        <v>#N/A</v>
      </c>
      <c r="J40" s="105" t="e">
        <f>IF(F40=0,0,H40/F40)</f>
        <v>#N/A</v>
      </c>
      <c r="L40" s="162" t="s">
        <v>251</v>
      </c>
      <c r="M40" s="167" t="s">
        <v>252</v>
      </c>
    </row>
    <row r="41" spans="1:13" ht="13.8" thickBot="1" x14ac:dyDescent="0.3">
      <c r="B41" s="1" t="s">
        <v>253</v>
      </c>
      <c r="D41" s="11">
        <f>SUM(D34:D40)</f>
        <v>0</v>
      </c>
      <c r="E41" s="12"/>
      <c r="F41" s="11" t="e">
        <f>SUM(F34:F40)</f>
        <v>#N/A</v>
      </c>
    </row>
    <row r="42" spans="1:13" ht="13.8" thickTop="1" x14ac:dyDescent="0.25"/>
    <row r="43" spans="1:13" x14ac:dyDescent="0.25">
      <c r="B43" s="22" t="s">
        <v>254</v>
      </c>
      <c r="D43" s="34" t="str">
        <f ca="1">IF(D18-D31=D41,"OK","ERROR")</f>
        <v>OK</v>
      </c>
      <c r="F43" s="34" t="e">
        <f>IF(F18-F31=F41,"OK","ERROR")</f>
        <v>#N/A</v>
      </c>
      <c r="M43" s="168"/>
    </row>
    <row r="45" spans="1:13" ht="15.75" customHeight="1" x14ac:dyDescent="0.25">
      <c r="A45" s="24" t="s">
        <v>88</v>
      </c>
    </row>
    <row r="47" spans="1:13" ht="15.75" customHeight="1" x14ac:dyDescent="0.25">
      <c r="A47" s="46" t="s">
        <v>89</v>
      </c>
      <c r="B47" s="171" t="s">
        <v>255</v>
      </c>
    </row>
    <row r="48" spans="1:13" x14ac:dyDescent="0.25">
      <c r="B48" t="s">
        <v>256</v>
      </c>
    </row>
    <row r="50" spans="1:10" x14ac:dyDescent="0.25">
      <c r="A50" s="172" t="s">
        <v>92</v>
      </c>
      <c r="B50" s="125" t="s">
        <v>257</v>
      </c>
      <c r="C50" s="125"/>
      <c r="D50" s="125"/>
      <c r="E50" s="125"/>
      <c r="F50" s="125"/>
      <c r="G50" s="125"/>
      <c r="H50" s="125"/>
      <c r="I50" s="126"/>
      <c r="J50" s="126"/>
    </row>
    <row r="51" spans="1:10" x14ac:dyDescent="0.25">
      <c r="B51" s="125" t="s">
        <v>258</v>
      </c>
      <c r="C51" s="125"/>
      <c r="D51" s="125"/>
      <c r="E51" s="125"/>
      <c r="F51" s="125"/>
      <c r="G51" s="125"/>
      <c r="H51" s="125"/>
      <c r="I51" s="126"/>
      <c r="J51" s="126"/>
    </row>
    <row r="52" spans="1:10" x14ac:dyDescent="0.25">
      <c r="B52" s="125" t="s">
        <v>259</v>
      </c>
      <c r="C52" s="125"/>
      <c r="D52" s="125"/>
      <c r="E52" s="125"/>
      <c r="F52" s="125"/>
      <c r="G52" s="125"/>
      <c r="H52" s="125"/>
      <c r="I52" s="126"/>
      <c r="J52" s="126"/>
    </row>
    <row r="53" spans="1:10" x14ac:dyDescent="0.25">
      <c r="B53" s="125" t="s">
        <v>260</v>
      </c>
      <c r="C53" s="125"/>
      <c r="D53" s="125"/>
      <c r="E53" s="125"/>
      <c r="F53" s="125"/>
      <c r="G53" s="125"/>
      <c r="H53" s="125"/>
      <c r="I53" s="126"/>
      <c r="J53" s="126"/>
    </row>
    <row r="55" spans="1:10" ht="15.75" customHeight="1" x14ac:dyDescent="0.25">
      <c r="B55" s="174" t="s">
        <v>261</v>
      </c>
    </row>
    <row r="56" spans="1:10" x14ac:dyDescent="0.25">
      <c r="B56" s="174" t="s">
        <v>262</v>
      </c>
    </row>
    <row r="57" spans="1:10" x14ac:dyDescent="0.25">
      <c r="B57" s="174" t="s">
        <v>263</v>
      </c>
    </row>
    <row r="58" spans="1:10" x14ac:dyDescent="0.25">
      <c r="B58" s="174" t="s">
        <v>264</v>
      </c>
    </row>
    <row r="59" spans="1:10" x14ac:dyDescent="0.25">
      <c r="B59" s="174" t="s">
        <v>265</v>
      </c>
    </row>
    <row r="60" spans="1:10" x14ac:dyDescent="0.25">
      <c r="B60" s="174"/>
    </row>
  </sheetData>
  <sheetProtection algorithmName="SHA-512" hashValue="F1deOXlEFqdG2ow/INDsboVZniYJfBN5KIE7zWshhSz2MGXQZe1OQUCkjxtaXlxkb8sRkjO0TC92bD56MC6AVQ==" saltValue="o6TwfUXDuagb/g9Vjadq5A==" spinCount="100000" sheet="1" autoFilter="0"/>
  <phoneticPr fontId="0" type="noConversion"/>
  <conditionalFormatting sqref="D43">
    <cfRule type="cellIs" dxfId="61" priority="2" stopIfTrue="1" operator="equal">
      <formula>"ERROR"</formula>
    </cfRule>
  </conditionalFormatting>
  <conditionalFormatting sqref="F43">
    <cfRule type="cellIs" dxfId="60" priority="1" stopIfTrue="1" operator="equal">
      <formula>"ERROR"</formula>
    </cfRule>
  </conditionalFormatting>
  <pageMargins left="0.75" right="0.75" top="0.5" bottom="0.5" header="0.5" footer="0.2"/>
  <pageSetup orientation="landscape" r:id="rId1"/>
  <headerFooter alignWithMargins="0">
    <oddFooter>&amp;L&amp;F &amp;A&amp;C&amp;P of &amp;N&amp;R&amp;D</oddFooter>
  </headerFooter>
  <ignoredErrors>
    <ignoredError sqref="A47 A50" numberStoredAsText="1"/>
    <ignoredError sqref="D8" formula="1"/>
    <ignoredError sqref="P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45"/>
  <sheetViews>
    <sheetView workbookViewId="0">
      <selection activeCell="K30" sqref="K30"/>
    </sheetView>
  </sheetViews>
  <sheetFormatPr defaultRowHeight="13.2" x14ac:dyDescent="0.25"/>
  <cols>
    <col min="1" max="1" width="3.6640625" customWidth="1"/>
    <col min="2" max="2" width="48.6640625" customWidth="1"/>
    <col min="3" max="3" width="1.6640625" customWidth="1"/>
    <col min="4" max="4" width="13.6640625" customWidth="1"/>
    <col min="5" max="5" width="1.6640625" customWidth="1"/>
    <col min="6" max="6" width="20.6640625" customWidth="1"/>
    <col min="7" max="7" width="3.109375" customWidth="1"/>
    <col min="8" max="8" width="16.33203125" customWidth="1"/>
    <col min="9" max="9" width="1.88671875" customWidth="1"/>
    <col min="12" max="12" width="14.109375" style="162" bestFit="1" customWidth="1"/>
  </cols>
  <sheetData>
    <row r="1" spans="1:12" s="13" customFormat="1" ht="12.75" customHeight="1" x14ac:dyDescent="0.25">
      <c r="A1" s="1" t="e">
        <f>CONCATENATE(Info!D7," Foundations")</f>
        <v>#N/A</v>
      </c>
      <c r="B1" s="171"/>
      <c r="C1" s="171"/>
      <c r="D1" s="30" t="s">
        <v>266</v>
      </c>
      <c r="E1" s="171"/>
      <c r="F1" s="171"/>
      <c r="G1" s="171"/>
      <c r="H1" s="171"/>
      <c r="I1" s="171"/>
      <c r="J1" s="171"/>
      <c r="K1" s="171"/>
      <c r="L1" s="162"/>
    </row>
    <row r="2" spans="1:12" s="13" customFormat="1" ht="12.75" customHeight="1" x14ac:dyDescent="0.25">
      <c r="A2" s="1" t="s">
        <v>267</v>
      </c>
      <c r="B2" s="171"/>
      <c r="C2" s="171"/>
      <c r="D2" s="171"/>
      <c r="E2" s="171"/>
      <c r="F2" s="171"/>
      <c r="G2" s="171"/>
      <c r="H2" s="171"/>
      <c r="I2" s="171"/>
      <c r="J2" s="171"/>
      <c r="K2" s="171"/>
      <c r="L2" s="162"/>
    </row>
    <row r="3" spans="1:12" s="13" customFormat="1" ht="12.75" customHeight="1" x14ac:dyDescent="0.25">
      <c r="A3" s="75" t="s">
        <v>218</v>
      </c>
      <c r="B3" s="171"/>
      <c r="C3" s="171"/>
      <c r="D3" s="171"/>
      <c r="E3" s="171"/>
      <c r="F3" s="26" t="str">
        <f>Info!D6</f>
        <v>Select College Foundation Number</v>
      </c>
      <c r="G3"/>
      <c r="H3"/>
      <c r="I3"/>
      <c r="J3"/>
      <c r="K3" s="171"/>
      <c r="L3" s="162"/>
    </row>
    <row r="4" spans="1:12" x14ac:dyDescent="0.25">
      <c r="A4" s="209" t="str">
        <f>' Use Stmt'!A4</f>
        <v>For the Year Ended June 30, 2025</v>
      </c>
    </row>
    <row r="5" spans="1:12" ht="12.75" customHeight="1" x14ac:dyDescent="0.25">
      <c r="D5" s="189" t="s">
        <v>219</v>
      </c>
      <c r="F5" s="4" t="s">
        <v>220</v>
      </c>
      <c r="H5" s="4" t="s">
        <v>221</v>
      </c>
      <c r="J5" s="4" t="s">
        <v>222</v>
      </c>
    </row>
    <row r="6" spans="1:12" x14ac:dyDescent="0.25">
      <c r="B6" s="1" t="s">
        <v>268</v>
      </c>
    </row>
    <row r="7" spans="1:12" x14ac:dyDescent="0.25">
      <c r="A7" s="32">
        <v>500</v>
      </c>
      <c r="B7" s="25" t="s">
        <v>147</v>
      </c>
      <c r="D7" s="27">
        <f ca="1">SUMIF(FASB_IS,A7,'Exh B'!$N$9:$N$22)+SUMIF(FASB_ADJ,A7,Adjustments!$N$9:$N$78)</f>
        <v>0</v>
      </c>
      <c r="F7" s="27" t="e">
        <f>HLOOKUP($F$3,PriorYrExhE!$E$1:$BJ$21,7,FALSE)</f>
        <v>#N/A</v>
      </c>
      <c r="H7" s="104" t="e">
        <f ca="1">D7-F7</f>
        <v>#N/A</v>
      </c>
      <c r="J7" s="105" t="e">
        <f>IF(F7=0,0,H7/F7)</f>
        <v>#N/A</v>
      </c>
      <c r="L7" s="162">
        <v>46200000</v>
      </c>
    </row>
    <row r="8" spans="1:12" x14ac:dyDescent="0.25">
      <c r="A8" s="32">
        <v>510</v>
      </c>
      <c r="B8" s="25" t="s">
        <v>148</v>
      </c>
      <c r="D8" s="12">
        <f ca="1">SUMIF(FASB_IS,A8,'Exh B'!$N$9:$N$22)+SUMIF(FASB_ADJ,A8,Adjustments!$N$9:$N$78)</f>
        <v>0</v>
      </c>
      <c r="F8" s="12" t="e">
        <f>HLOOKUP($F$3,PriorYrExhE!$E$1:$BJ$21,8,FALSE)</f>
        <v>#N/A</v>
      </c>
      <c r="H8" s="104" t="e">
        <f t="shared" ref="H8:H14" ca="1" si="0">D8-F8</f>
        <v>#N/A</v>
      </c>
      <c r="J8" s="105" t="e">
        <f t="shared" ref="J8:J14" si="1">IF(F8=0,0,H8/F8)</f>
        <v>#N/A</v>
      </c>
      <c r="L8" s="162">
        <v>46203000</v>
      </c>
    </row>
    <row r="9" spans="1:12" x14ac:dyDescent="0.25">
      <c r="A9" s="32">
        <v>520</v>
      </c>
      <c r="B9" s="25" t="s">
        <v>149</v>
      </c>
      <c r="D9" s="12">
        <f ca="1">SUMIF(FASB_IS,A9,'Exh B'!$N$9:$N$22)+SUMIF(FASB_ADJ,A9,Adjustments!$N$9:$N$78)</f>
        <v>0</v>
      </c>
      <c r="F9" s="12" t="e">
        <f>HLOOKUP($F$3,PriorYrExhE!$E$1:$BJ$21,9,FALSE)</f>
        <v>#N/A</v>
      </c>
      <c r="H9" s="104" t="e">
        <f t="shared" ca="1" si="0"/>
        <v>#N/A</v>
      </c>
      <c r="J9" s="105" t="e">
        <f t="shared" si="1"/>
        <v>#N/A</v>
      </c>
      <c r="L9" s="162">
        <v>46205000</v>
      </c>
    </row>
    <row r="10" spans="1:12" x14ac:dyDescent="0.25">
      <c r="A10" s="32">
        <v>530</v>
      </c>
      <c r="B10" s="25" t="s">
        <v>109</v>
      </c>
      <c r="D10" s="12">
        <f ca="1">SUMIF(FASB_IS,A10,'Exh B'!$N$9:$N$22)+SUMIF(FASB_ADJ,A10,Adjustments!$N$9:$N$78)</f>
        <v>0</v>
      </c>
      <c r="F10" s="12" t="e">
        <f>HLOOKUP($F$3,PriorYrExhE!$E$1:$BJ$21,10,FALSE)</f>
        <v>#N/A</v>
      </c>
      <c r="H10" s="104" t="e">
        <f t="shared" ca="1" si="0"/>
        <v>#N/A</v>
      </c>
      <c r="J10" s="105" t="e">
        <f t="shared" si="1"/>
        <v>#N/A</v>
      </c>
      <c r="L10" s="169">
        <v>43111000</v>
      </c>
    </row>
    <row r="11" spans="1:12" x14ac:dyDescent="0.25">
      <c r="A11" s="32">
        <v>540</v>
      </c>
      <c r="B11" s="25" t="s">
        <v>111</v>
      </c>
      <c r="D11" s="12">
        <f ca="1">SUMIF(FASB_IS,A11,'Exh B'!$N$9:$N$22)+SUMIF(FASB_ADJ,A11,Adjustments!$N$9:$N$78)</f>
        <v>0</v>
      </c>
      <c r="F11" s="12" t="e">
        <f>HLOOKUP($F$3,PriorYrExhE!$E$1:$BJ$21,11,FALSE)</f>
        <v>#N/A</v>
      </c>
      <c r="H11" s="104" t="e">
        <f t="shared" ca="1" si="0"/>
        <v>#N/A</v>
      </c>
      <c r="J11" s="105" t="e">
        <f t="shared" si="1"/>
        <v>#N/A</v>
      </c>
      <c r="L11" s="162">
        <v>44101000</v>
      </c>
    </row>
    <row r="12" spans="1:12" x14ac:dyDescent="0.25">
      <c r="A12" s="32">
        <v>550</v>
      </c>
      <c r="B12" s="25" t="s">
        <v>269</v>
      </c>
      <c r="D12" s="12">
        <f ca="1">SUMIF(FASB_IS,A12,'Exh B'!$N$9:$N$22)+SUMIF(FASB_ADJ,A12,Adjustments!$N$9:$N$78)</f>
        <v>0</v>
      </c>
      <c r="F12" s="12" t="e">
        <f>HLOOKUP($F$3,PriorYrExhE!$E$1:$BJ$21,12,FALSE)</f>
        <v>#N/A</v>
      </c>
      <c r="H12" s="104" t="e">
        <f t="shared" ca="1" si="0"/>
        <v>#N/A</v>
      </c>
      <c r="J12" s="105" t="e">
        <f t="shared" si="1"/>
        <v>#N/A</v>
      </c>
      <c r="L12" s="162">
        <v>44410000</v>
      </c>
    </row>
    <row r="13" spans="1:12" x14ac:dyDescent="0.25">
      <c r="A13" s="32">
        <v>555</v>
      </c>
      <c r="B13" s="25" t="s">
        <v>113</v>
      </c>
      <c r="D13" s="12">
        <f ca="1">SUMIF(FASB_IS,A13,'Exh B'!$N$9:$N$22)+SUMIF(FASB_ADJ,A13,Adjustments!$N$9:$N$78)</f>
        <v>0</v>
      </c>
      <c r="F13" s="12" t="e">
        <f>HLOOKUP($F$3,PriorYrExhE!$E$1:$BJ$21,13,FALSE)</f>
        <v>#N/A</v>
      </c>
      <c r="H13" s="104" t="e">
        <f t="shared" ca="1" si="0"/>
        <v>#N/A</v>
      </c>
      <c r="J13" s="105" t="e">
        <f t="shared" si="1"/>
        <v>#N/A</v>
      </c>
      <c r="L13" s="169">
        <v>44330000</v>
      </c>
    </row>
    <row r="14" spans="1:12" x14ac:dyDescent="0.25">
      <c r="A14" s="32">
        <v>560</v>
      </c>
      <c r="B14" s="25" t="s">
        <v>270</v>
      </c>
      <c r="D14" s="12">
        <f ca="1">SUMIF(FASB_IS,A14,'Exh B'!$N$9:$N$22)+SUMIF(FASB_ADJ,A14,Adjustments!$N$9:$N$78)</f>
        <v>0</v>
      </c>
      <c r="F14" s="12" t="e">
        <f>HLOOKUP($F$3,PriorYrExhE!$E$1:$BJ$21,14,FALSE)</f>
        <v>#N/A</v>
      </c>
      <c r="H14" s="104" t="e">
        <f t="shared" ca="1" si="0"/>
        <v>#N/A</v>
      </c>
      <c r="J14" s="105" t="e">
        <f t="shared" si="1"/>
        <v>#N/A</v>
      </c>
      <c r="L14" s="162">
        <v>47996000</v>
      </c>
    </row>
    <row r="15" spans="1:12" x14ac:dyDescent="0.25">
      <c r="A15" s="32"/>
      <c r="B15" s="2" t="s">
        <v>115</v>
      </c>
      <c r="D15" s="20">
        <f ca="1">SUM(D7:D14)</f>
        <v>0</v>
      </c>
      <c r="F15" s="20" t="e">
        <f>SUM(F7:F14)</f>
        <v>#N/A</v>
      </c>
    </row>
    <row r="16" spans="1:12" ht="13.95" customHeight="1" x14ac:dyDescent="0.25">
      <c r="A16" s="32"/>
    </row>
    <row r="17" spans="1:12" x14ac:dyDescent="0.25">
      <c r="A17" s="32"/>
      <c r="B17" s="1" t="s">
        <v>271</v>
      </c>
    </row>
    <row r="18" spans="1:12" ht="15.6" x14ac:dyDescent="0.25">
      <c r="A18" s="32">
        <v>604</v>
      </c>
      <c r="B18" s="171" t="s">
        <v>272</v>
      </c>
      <c r="D18" s="12">
        <f ca="1">SUMIF(FASB_IS,A18,'Exh B'!$N$9:$N$22)+SUMIF(FASB_ADJ,A18,Adjustments!$N$9:$N$78)</f>
        <v>0</v>
      </c>
      <c r="F18" s="12" t="e">
        <f>HLOOKUP($F$3,PriorYrExhE!$E$1:$BJ$21,18,FALSE)</f>
        <v>#N/A</v>
      </c>
      <c r="H18" s="104" t="e">
        <f ca="1">D18-F18</f>
        <v>#N/A</v>
      </c>
      <c r="J18" s="105" t="e">
        <f>IF(F18=0,0,H18/F18)</f>
        <v>#N/A</v>
      </c>
      <c r="L18" s="162" t="s">
        <v>273</v>
      </c>
    </row>
    <row r="19" spans="1:12" ht="15.6" x14ac:dyDescent="0.25">
      <c r="A19" s="32">
        <v>600</v>
      </c>
      <c r="B19" s="171" t="s">
        <v>274</v>
      </c>
      <c r="D19" s="12">
        <f ca="1">SUMIF(FASB_IS,A19,'Exh B'!$N$9:$N$22)+SUMIF(FASB_ADJ,A19,Adjustments!$N$9:$N$78)</f>
        <v>0</v>
      </c>
      <c r="F19" s="12" t="e">
        <f>HLOOKUP($F$3,PriorYrExhE!$E$1:$BJ$21,19,FALSE)</f>
        <v>#N/A</v>
      </c>
      <c r="H19" s="104" t="e">
        <f ca="1">D19-F19</f>
        <v>#N/A</v>
      </c>
      <c r="J19" s="105" t="e">
        <f>IF(F19=0,0,H19/F19)</f>
        <v>#N/A</v>
      </c>
      <c r="L19" s="162" t="s">
        <v>275</v>
      </c>
    </row>
    <row r="20" spans="1:12" ht="15.6" x14ac:dyDescent="0.25">
      <c r="A20" s="32">
        <v>602</v>
      </c>
      <c r="B20" s="171" t="s">
        <v>276</v>
      </c>
      <c r="D20" s="12">
        <f ca="1">SUMIF(FASB_IS,A20,'Exh B'!$N$9:$N$22)+SUMIF(FASB_ADJ,A20,Adjustments!$N$9:$N$78)</f>
        <v>0</v>
      </c>
      <c r="F20" s="12" t="e">
        <f>HLOOKUP($F$3,PriorYrExhE!$E$1:$BJ$21,20,FALSE)</f>
        <v>#N/A</v>
      </c>
      <c r="H20" s="104" t="e">
        <f ca="1">D20-F20</f>
        <v>#N/A</v>
      </c>
      <c r="J20" s="105" t="e">
        <f>IF(F20=0,0,H20/F20)</f>
        <v>#N/A</v>
      </c>
      <c r="L20" s="162" t="s">
        <v>277</v>
      </c>
    </row>
    <row r="21" spans="1:12" x14ac:dyDescent="0.25">
      <c r="A21" s="32">
        <v>610</v>
      </c>
      <c r="B21" s="171" t="s">
        <v>278</v>
      </c>
      <c r="D21" s="10">
        <f ca="1">SUMIF(FASB_IS,A21,'Exh B'!$N$9:$N$22)+SUMIF(FASB_ADJ,A21,Adjustments!$N$9:$N$78)</f>
        <v>0</v>
      </c>
      <c r="F21" s="12" t="e">
        <f>HLOOKUP($F$3,PriorYrExhE!$E$1:$BJ$21,21,FALSE)</f>
        <v>#N/A</v>
      </c>
      <c r="H21" s="104" t="e">
        <f ca="1">D21-F21</f>
        <v>#N/A</v>
      </c>
      <c r="J21" s="105" t="e">
        <f>IF(F21=0,0,H21/F21)</f>
        <v>#N/A</v>
      </c>
      <c r="L21" s="169">
        <v>55900000</v>
      </c>
    </row>
    <row r="22" spans="1:12" x14ac:dyDescent="0.25">
      <c r="A22" s="32"/>
      <c r="B22" s="2" t="s">
        <v>119</v>
      </c>
      <c r="D22" s="20">
        <f ca="1">SUM(D18:D21)</f>
        <v>0</v>
      </c>
      <c r="F22" s="20" t="e">
        <f>SUM(F18:F21)</f>
        <v>#N/A</v>
      </c>
    </row>
    <row r="24" spans="1:12" x14ac:dyDescent="0.25">
      <c r="B24" s="174" t="s">
        <v>279</v>
      </c>
      <c r="D24" s="12">
        <f ca="1">D15-D22</f>
        <v>0</v>
      </c>
      <c r="F24" s="12" t="e">
        <f>HLOOKUP($F$3,PriorYrExhE!$E$1:$BJ$27,24,FALSE)</f>
        <v>#N/A</v>
      </c>
      <c r="H24" s="104" t="e">
        <f ca="1">D24-F24</f>
        <v>#N/A</v>
      </c>
      <c r="J24" s="105" t="e">
        <f>IF(F24=0,0,H24/F24)</f>
        <v>#N/A</v>
      </c>
    </row>
    <row r="26" spans="1:12" x14ac:dyDescent="0.25">
      <c r="A26" s="31">
        <v>340</v>
      </c>
      <c r="B26" s="171" t="s">
        <v>280</v>
      </c>
      <c r="D26" s="12">
        <f>'Exh B'!N27</f>
        <v>0</v>
      </c>
      <c r="F26" s="12" t="e">
        <f>HLOOKUP($F$3,PriorYrExhE!$E$1:$BJ$27,26,FALSE)</f>
        <v>#N/A</v>
      </c>
      <c r="H26" s="104" t="e">
        <f>D26-F26</f>
        <v>#N/A</v>
      </c>
      <c r="J26" s="105" t="e">
        <f>IF(F26=0,0,H26/F26)</f>
        <v>#N/A</v>
      </c>
    </row>
    <row r="27" spans="1:12" x14ac:dyDescent="0.25">
      <c r="A27" s="31">
        <v>350</v>
      </c>
      <c r="B27" t="s">
        <v>43</v>
      </c>
      <c r="D27" s="10">
        <f>'Exh B'!N28</f>
        <v>0</v>
      </c>
      <c r="F27" s="12" t="e">
        <f>HLOOKUP($F$3,PriorYrExhE!$E$1:$BJ$27,27,FALSE)</f>
        <v>#N/A</v>
      </c>
      <c r="H27" s="104" t="e">
        <f>D27-F27</f>
        <v>#N/A</v>
      </c>
      <c r="J27" s="105" t="e">
        <f>IF(F27=0,0,H27/F27)</f>
        <v>#N/A</v>
      </c>
      <c r="L27" s="162">
        <v>33000100</v>
      </c>
    </row>
    <row r="28" spans="1:12" ht="13.8" thickBot="1" x14ac:dyDescent="0.3">
      <c r="B28" s="171" t="s">
        <v>281</v>
      </c>
      <c r="D28" s="11">
        <f ca="1">D24+D26+D27</f>
        <v>0</v>
      </c>
      <c r="F28" s="11" t="e">
        <f>F24+F26+F27</f>
        <v>#N/A</v>
      </c>
    </row>
    <row r="29" spans="1:12" ht="13.8" thickTop="1" x14ac:dyDescent="0.25"/>
    <row r="30" spans="1:12" x14ac:dyDescent="0.25">
      <c r="B30" s="22" t="s">
        <v>282</v>
      </c>
      <c r="D30" s="34" t="str">
        <f ca="1">IF(D28='Exh D'!D41,"OK","ERROR")</f>
        <v>OK</v>
      </c>
      <c r="F30" s="34" t="e">
        <f>IF(F28='Exh D'!F41,"OK","ERROR")</f>
        <v>#N/A</v>
      </c>
    </row>
    <row r="31" spans="1:12" x14ac:dyDescent="0.25">
      <c r="B31" s="22"/>
    </row>
    <row r="32" spans="1:12" x14ac:dyDescent="0.25">
      <c r="A32" s="24" t="s">
        <v>88</v>
      </c>
    </row>
    <row r="34" spans="1:8" x14ac:dyDescent="0.25">
      <c r="A34" s="46" t="s">
        <v>89</v>
      </c>
      <c r="B34" s="171" t="s">
        <v>283</v>
      </c>
    </row>
    <row r="35" spans="1:8" x14ac:dyDescent="0.25">
      <c r="B35" t="s">
        <v>256</v>
      </c>
    </row>
    <row r="36" spans="1:8" ht="3.9" customHeight="1" x14ac:dyDescent="0.25"/>
    <row r="37" spans="1:8" x14ac:dyDescent="0.25">
      <c r="A37" s="172" t="s">
        <v>92</v>
      </c>
      <c r="B37" s="125" t="s">
        <v>257</v>
      </c>
      <c r="C37" s="125"/>
      <c r="D37" s="125"/>
      <c r="E37" s="125"/>
      <c r="F37" s="125"/>
      <c r="G37" s="125"/>
      <c r="H37" s="125"/>
    </row>
    <row r="38" spans="1:8" x14ac:dyDescent="0.25">
      <c r="B38" s="125" t="s">
        <v>258</v>
      </c>
      <c r="C38" s="125"/>
      <c r="D38" s="125"/>
      <c r="E38" s="125"/>
      <c r="F38" s="125"/>
      <c r="G38" s="125"/>
      <c r="H38" s="125"/>
    </row>
    <row r="39" spans="1:8" x14ac:dyDescent="0.25">
      <c r="B39" s="125" t="s">
        <v>259</v>
      </c>
      <c r="C39" s="125"/>
      <c r="D39" s="125"/>
      <c r="E39" s="125"/>
      <c r="F39" s="125"/>
      <c r="G39" s="125"/>
      <c r="H39" s="125"/>
    </row>
    <row r="40" spans="1:8" x14ac:dyDescent="0.25">
      <c r="B40" s="125" t="s">
        <v>260</v>
      </c>
      <c r="C40" s="125"/>
      <c r="D40" s="125"/>
      <c r="E40" s="125"/>
      <c r="F40" s="125"/>
      <c r="G40" s="125"/>
      <c r="H40" s="125"/>
    </row>
    <row r="41" spans="1:8" ht="3.9" customHeight="1" x14ac:dyDescent="0.25"/>
    <row r="42" spans="1:8" x14ac:dyDescent="0.25">
      <c r="B42" s="22" t="s">
        <v>284</v>
      </c>
      <c r="C42" s="22"/>
      <c r="D42" s="22"/>
      <c r="E42" s="22"/>
      <c r="F42" s="22"/>
    </row>
    <row r="43" spans="1:8" x14ac:dyDescent="0.25">
      <c r="B43" s="22" t="s">
        <v>285</v>
      </c>
      <c r="C43" s="22"/>
      <c r="D43" s="22"/>
      <c r="E43" s="22"/>
      <c r="F43" s="22"/>
    </row>
    <row r="44" spans="1:8" x14ac:dyDescent="0.25">
      <c r="B44" s="22" t="s">
        <v>286</v>
      </c>
      <c r="C44" s="22"/>
      <c r="D44" s="22"/>
      <c r="E44" s="22"/>
      <c r="F44" s="22"/>
    </row>
    <row r="45" spans="1:8" x14ac:dyDescent="0.25">
      <c r="B45" s="22"/>
    </row>
  </sheetData>
  <sheetProtection algorithmName="SHA-512" hashValue="VeYO/XL2vq7VSqgLDQFK8L/F6isQtUrzMGjTjwFbsmxy1/WGGL79iV4Tm8RSdl+Chbjc5zxl9B4j5o+Y8itF6A==" saltValue="6iU+742JTT0qUATyain//Q==" spinCount="100000" sheet="1" autoFilter="0"/>
  <phoneticPr fontId="0" type="noConversion"/>
  <conditionalFormatting sqref="D30">
    <cfRule type="cellIs" dxfId="59" priority="2" stopIfTrue="1" operator="equal">
      <formula>"ERROR"</formula>
    </cfRule>
  </conditionalFormatting>
  <conditionalFormatting sqref="F30">
    <cfRule type="cellIs" dxfId="58" priority="1" stopIfTrue="1" operator="equal">
      <formula>"ERROR"</formula>
    </cfRule>
  </conditionalFormatting>
  <pageMargins left="0.75" right="0.75" top="0.5" bottom="0.5" header="0.5" footer="0.2"/>
  <pageSetup scale="86" orientation="landscape" r:id="rId1"/>
  <headerFooter alignWithMargins="0">
    <oddFooter>&amp;L&amp;F &amp;A&amp;C&amp;P of &amp;N&amp;R&amp;D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9B90A-7463-4E06-B2B5-181BFBFF2327}">
  <sheetPr codeName="Sheet12">
    <tabColor rgb="FFFF0000"/>
    <pageSetUpPr fitToPage="1"/>
  </sheetPr>
  <dimension ref="A1:R71"/>
  <sheetViews>
    <sheetView workbookViewId="0">
      <selection activeCell="G60" sqref="G60"/>
    </sheetView>
  </sheetViews>
  <sheetFormatPr defaultRowHeight="13.2" x14ac:dyDescent="0.25"/>
  <cols>
    <col min="1" max="1" width="8.88671875" customWidth="1"/>
    <col min="2" max="2" width="40.33203125" customWidth="1"/>
    <col min="3" max="3" width="36" customWidth="1"/>
    <col min="4" max="4" width="21.109375" customWidth="1"/>
    <col min="5" max="6" width="24.88671875" customWidth="1"/>
    <col min="7" max="7" width="41.109375" customWidth="1"/>
    <col min="8" max="8" width="63.6640625" customWidth="1"/>
    <col min="10" max="10" width="8.88671875" hidden="1" customWidth="1"/>
    <col min="11" max="11" width="12.33203125" hidden="1" customWidth="1"/>
    <col min="12" max="12" width="10.88671875" hidden="1" customWidth="1"/>
    <col min="13" max="13" width="8.88671875" hidden="1" customWidth="1"/>
    <col min="14" max="15" width="10.5546875" hidden="1" customWidth="1"/>
    <col min="16" max="17" width="19.6640625" hidden="1" customWidth="1"/>
    <col min="18" max="18" width="19.88671875" hidden="1" customWidth="1"/>
  </cols>
  <sheetData>
    <row r="1" spans="2:8" ht="22.8" x14ac:dyDescent="0.4">
      <c r="B1" s="211" t="s">
        <v>287</v>
      </c>
    </row>
    <row r="2" spans="2:8" s="171" customFormat="1" ht="18.600000000000001" customHeight="1" x14ac:dyDescent="0.25">
      <c r="B2" s="1" t="e">
        <f>CONCATENATE(Info!D7," Foundations")</f>
        <v>#N/A</v>
      </c>
      <c r="F2" s="30"/>
    </row>
    <row r="3" spans="2:8" s="171" customFormat="1" ht="18.600000000000001" customHeight="1" x14ac:dyDescent="0.25">
      <c r="B3" s="172" t="s">
        <v>288</v>
      </c>
      <c r="F3" s="30"/>
    </row>
    <row r="4" spans="2:8" s="171" customFormat="1" ht="13.8" thickBot="1" x14ac:dyDescent="0.3">
      <c r="B4" s="172"/>
      <c r="F4" s="30"/>
    </row>
    <row r="5" spans="2:8" s="171" customFormat="1" ht="46.2" customHeight="1" thickBot="1" x14ac:dyDescent="0.3">
      <c r="B5" s="359" t="s">
        <v>725</v>
      </c>
      <c r="C5" s="360"/>
      <c r="D5" s="360"/>
      <c r="E5" s="360"/>
      <c r="F5" s="360"/>
      <c r="G5" s="360"/>
      <c r="H5" s="287"/>
    </row>
    <row r="6" spans="2:8" s="171" customFormat="1" ht="22.2" customHeight="1" thickBot="1" x14ac:dyDescent="0.3">
      <c r="B6" s="365" t="s">
        <v>719</v>
      </c>
      <c r="C6" s="366"/>
      <c r="D6" s="366"/>
      <c r="E6" s="366"/>
      <c r="F6" s="366"/>
      <c r="G6" s="366"/>
      <c r="H6" s="367"/>
    </row>
    <row r="7" spans="2:8" s="171" customFormat="1" x14ac:dyDescent="0.25">
      <c r="B7" s="243" t="s">
        <v>289</v>
      </c>
      <c r="C7" s="283"/>
      <c r="D7" s="283"/>
      <c r="E7" s="283"/>
      <c r="F7" s="284"/>
      <c r="G7" s="283"/>
      <c r="H7" s="285"/>
    </row>
    <row r="8" spans="2:8" s="171" customFormat="1" ht="18.600000000000001" customHeight="1" x14ac:dyDescent="0.25">
      <c r="B8" s="244" t="s">
        <v>290</v>
      </c>
      <c r="C8" s="283"/>
      <c r="D8" s="283"/>
      <c r="E8" s="283"/>
      <c r="F8" s="284"/>
      <c r="G8" s="283"/>
      <c r="H8" s="285"/>
    </row>
    <row r="9" spans="2:8" s="171" customFormat="1" ht="30" customHeight="1" x14ac:dyDescent="0.25">
      <c r="B9" s="368" t="s">
        <v>690</v>
      </c>
      <c r="C9" s="369"/>
      <c r="D9" s="369"/>
      <c r="E9" s="369"/>
      <c r="F9" s="369"/>
      <c r="G9" s="369"/>
      <c r="H9" s="370"/>
    </row>
    <row r="10" spans="2:8" s="171" customFormat="1" x14ac:dyDescent="0.25">
      <c r="B10" s="245" t="s">
        <v>291</v>
      </c>
      <c r="C10" s="283"/>
      <c r="D10" s="283"/>
      <c r="E10" s="283"/>
      <c r="F10" s="284"/>
      <c r="G10" s="283"/>
      <c r="H10" s="285"/>
    </row>
    <row r="11" spans="2:8" s="171" customFormat="1" x14ac:dyDescent="0.25">
      <c r="B11" s="244" t="s">
        <v>292</v>
      </c>
      <c r="C11" s="283"/>
      <c r="D11" s="283"/>
      <c r="E11" s="283"/>
      <c r="F11" s="284"/>
      <c r="G11" s="283"/>
      <c r="H11" s="285"/>
    </row>
    <row r="12" spans="2:8" s="171" customFormat="1" x14ac:dyDescent="0.25">
      <c r="B12" s="244" t="s">
        <v>691</v>
      </c>
      <c r="C12" s="283"/>
      <c r="D12" s="283"/>
      <c r="E12" s="283"/>
      <c r="F12" s="284"/>
      <c r="G12" s="283"/>
      <c r="H12" s="285"/>
    </row>
    <row r="13" spans="2:8" s="171" customFormat="1" ht="13.8" thickBot="1" x14ac:dyDescent="0.3">
      <c r="B13" s="246" t="s">
        <v>293</v>
      </c>
      <c r="C13" s="247"/>
      <c r="D13" s="247"/>
      <c r="E13" s="248"/>
      <c r="F13" s="248" t="s">
        <v>294</v>
      </c>
      <c r="G13" s="247"/>
      <c r="H13" s="286"/>
    </row>
    <row r="14" spans="2:8" s="171" customFormat="1" ht="12.75" customHeight="1" x14ac:dyDescent="0.25">
      <c r="C14" s="1"/>
    </row>
    <row r="15" spans="2:8" s="171" customFormat="1" ht="12.75" customHeight="1" x14ac:dyDescent="0.25">
      <c r="C15" s="45"/>
      <c r="D15" s="228" t="s">
        <v>295</v>
      </c>
      <c r="E15" s="228" t="s">
        <v>296</v>
      </c>
      <c r="F15" s="228" t="s">
        <v>297</v>
      </c>
      <c r="G15" s="229" t="s">
        <v>298</v>
      </c>
    </row>
    <row r="16" spans="2:8" s="171" customFormat="1" ht="12.75" customHeight="1" x14ac:dyDescent="0.25">
      <c r="B16" s="226" t="s">
        <v>299</v>
      </c>
      <c r="C16" s="226"/>
      <c r="D16" s="226">
        <v>1</v>
      </c>
      <c r="E16" s="226">
        <v>2</v>
      </c>
      <c r="F16" s="226">
        <v>3</v>
      </c>
      <c r="G16" s="227">
        <v>5</v>
      </c>
      <c r="H16" s="252">
        <v>6</v>
      </c>
    </row>
    <row r="17" spans="1:18" s="215" customFormat="1" ht="26.4" x14ac:dyDescent="0.25">
      <c r="A17" s="212" t="s">
        <v>300</v>
      </c>
      <c r="B17" s="213" t="s">
        <v>301</v>
      </c>
      <c r="C17" s="230">
        <f>'Exh E'!D27</f>
        <v>0</v>
      </c>
      <c r="D17" s="214" t="s">
        <v>302</v>
      </c>
      <c r="E17" s="231" t="s">
        <v>122</v>
      </c>
      <c r="F17" s="232" t="s">
        <v>705</v>
      </c>
      <c r="G17" s="232" t="s">
        <v>303</v>
      </c>
      <c r="H17" s="253" t="s">
        <v>724</v>
      </c>
    </row>
    <row r="18" spans="1:18" ht="13.2" customHeight="1" x14ac:dyDescent="0.25">
      <c r="B18" s="362" t="s">
        <v>305</v>
      </c>
      <c r="C18" s="363"/>
      <c r="D18" s="363"/>
      <c r="E18" s="363"/>
      <c r="F18" s="363"/>
      <c r="G18" s="364"/>
      <c r="H18" s="216"/>
      <c r="J18" s="254"/>
      <c r="K18" s="258" t="s">
        <v>693</v>
      </c>
      <c r="L18" s="258" t="s">
        <v>43</v>
      </c>
      <c r="M18" s="258"/>
      <c r="N18" s="294" t="s">
        <v>694</v>
      </c>
      <c r="O18" s="294" t="s">
        <v>695</v>
      </c>
      <c r="P18" s="295" t="s">
        <v>696</v>
      </c>
      <c r="Q18" s="295" t="s">
        <v>706</v>
      </c>
      <c r="R18" s="296" t="s">
        <v>707</v>
      </c>
    </row>
    <row r="19" spans="1:18" s="254" customFormat="1" x14ac:dyDescent="0.25">
      <c r="A19" s="361" t="s">
        <v>306</v>
      </c>
      <c r="B19" s="263" t="s">
        <v>307</v>
      </c>
      <c r="C19" s="332" t="s">
        <v>307</v>
      </c>
      <c r="D19" s="288"/>
      <c r="E19" s="289"/>
      <c r="F19" s="331">
        <f>D19+E19</f>
        <v>0</v>
      </c>
      <c r="G19" s="265" t="s">
        <v>308</v>
      </c>
      <c r="H19" s="333"/>
      <c r="J19" s="254">
        <f>COUNTIF(K19:L19,FALSE)</f>
        <v>0</v>
      </c>
      <c r="K19" s="254" t="b">
        <f t="shared" ref="K19:L22" si="0">ISBLANK(D19)</f>
        <v>1</v>
      </c>
      <c r="L19" s="254" t="b">
        <f t="shared" si="0"/>
        <v>1</v>
      </c>
      <c r="N19" s="297" t="b">
        <f>IF(E19&lt;&gt;0,IF(B19="Select an account",NOT(ISBLANK(B19)),ISBLANK(B19)))</f>
        <v>0</v>
      </c>
      <c r="O19" s="298" t="b">
        <f>IF(E19=0,IF(B19="Select an account",NOT(ISBLANK(B19)),ISBLANK(B19)))</f>
        <v>0</v>
      </c>
      <c r="P19" s="299" t="b">
        <f>IF(E19&lt;&gt;0,IF(G19="Select Reason",NOT(ISBLANK(G19)),ISBLANK(G19)))</f>
        <v>0</v>
      </c>
      <c r="Q19" s="299" t="b">
        <f>IF(E19=0,IF(G19="Select Reason",ISBLANK(G19),NOT(ISBLANK(G19))))</f>
        <v>0</v>
      </c>
      <c r="R19" s="300" t="b">
        <f>IF(E19=0,ISBLANK(H19),NOT(ISBLANK(H19)))</f>
        <v>1</v>
      </c>
    </row>
    <row r="20" spans="1:18" s="254" customFormat="1" x14ac:dyDescent="0.25">
      <c r="A20" s="361"/>
      <c r="B20" s="263" t="s">
        <v>309</v>
      </c>
      <c r="C20" s="332" t="s">
        <v>309</v>
      </c>
      <c r="D20" s="288"/>
      <c r="E20" s="289"/>
      <c r="F20" s="331">
        <f t="shared" ref="F20:F22" si="1">D20+E20</f>
        <v>0</v>
      </c>
      <c r="G20" s="265" t="s">
        <v>308</v>
      </c>
      <c r="H20" s="333"/>
      <c r="J20" s="254">
        <f t="shared" ref="J20:J22" si="2">COUNTIF(K20:L20,FALSE)</f>
        <v>0</v>
      </c>
      <c r="K20" s="254" t="b">
        <f t="shared" si="0"/>
        <v>1</v>
      </c>
      <c r="L20" s="254" t="b">
        <f t="shared" si="0"/>
        <v>1</v>
      </c>
      <c r="N20" s="297" t="b">
        <f>IF(E20&lt;&gt;0,IF(B20="Select an account",NOT(ISBLANK(B20)),ISBLANK(B20)))</f>
        <v>0</v>
      </c>
      <c r="O20" s="298" t="b">
        <f>IF(E20=0,IF(B20="Select an account",NOT(ISBLANK(B20)),ISBLANK(B20)))</f>
        <v>0</v>
      </c>
      <c r="P20" s="299" t="b">
        <f>IF(E20&lt;&gt;0,IF(G20="Select Reason",NOT(ISBLANK(G20)),ISBLANK(G20)))</f>
        <v>0</v>
      </c>
      <c r="Q20" s="299" t="b">
        <f>IF(E20=0,IF(G20="Select Reason",ISBLANK(G20),NOT(ISBLANK(G20))))</f>
        <v>0</v>
      </c>
      <c r="R20" s="300" t="b">
        <f>IF(E20=0,ISBLANK(H20),NOT(ISBLANK(H20)))</f>
        <v>1</v>
      </c>
    </row>
    <row r="21" spans="1:18" s="254" customFormat="1" x14ac:dyDescent="0.25">
      <c r="A21" s="361"/>
      <c r="B21" s="263" t="s">
        <v>310</v>
      </c>
      <c r="C21" s="332" t="s">
        <v>310</v>
      </c>
      <c r="D21" s="288"/>
      <c r="E21" s="289"/>
      <c r="F21" s="331">
        <f t="shared" ref="F21" si="3">D21+E21</f>
        <v>0</v>
      </c>
      <c r="G21" s="265" t="s">
        <v>308</v>
      </c>
      <c r="H21" s="333"/>
      <c r="J21" s="254">
        <f t="shared" si="2"/>
        <v>0</v>
      </c>
      <c r="K21" s="254" t="b">
        <f t="shared" si="0"/>
        <v>1</v>
      </c>
      <c r="L21" s="254" t="b">
        <f t="shared" si="0"/>
        <v>1</v>
      </c>
      <c r="N21" s="297" t="b">
        <f>IF(E21&lt;&gt;0,IF(B21="Select an account",NOT(ISBLANK(B21)),ISBLANK(B21)))</f>
        <v>0</v>
      </c>
      <c r="O21" s="298" t="b">
        <f>IF(E21=0,IF(B21="R_Restricted - expendable",ISBLANK(B21),NOT(ISBLANK(B21))))</f>
        <v>0</v>
      </c>
      <c r="P21" s="299" t="b">
        <f>IF(E21&lt;&gt;0,IF(G21="Select Reason",NOT(ISBLANK(G21)),ISBLANK(G21)))</f>
        <v>0</v>
      </c>
      <c r="Q21" s="299" t="b">
        <f>IF(E21=0,IF(G21="Select Reason",ISBLANK(G21),NOT(ISBLANK(G21))))</f>
        <v>0</v>
      </c>
      <c r="R21" s="300" t="b">
        <f>IF(E21=0,ISBLANK(H21),NOT(ISBLANK(H21)))</f>
        <v>1</v>
      </c>
    </row>
    <row r="22" spans="1:18" s="254" customFormat="1" ht="13.8" thickBot="1" x14ac:dyDescent="0.3">
      <c r="A22" s="361"/>
      <c r="B22" s="263" t="s">
        <v>311</v>
      </c>
      <c r="C22" s="332" t="s">
        <v>311</v>
      </c>
      <c r="D22" s="288"/>
      <c r="E22" s="289"/>
      <c r="F22" s="331">
        <f t="shared" si="1"/>
        <v>0</v>
      </c>
      <c r="G22" s="265" t="s">
        <v>308</v>
      </c>
      <c r="H22" s="333"/>
      <c r="J22" s="254">
        <f t="shared" si="2"/>
        <v>0</v>
      </c>
      <c r="K22" s="254" t="b">
        <f t="shared" si="0"/>
        <v>1</v>
      </c>
      <c r="L22" s="254" t="b">
        <f t="shared" si="0"/>
        <v>1</v>
      </c>
      <c r="N22" s="297" t="b">
        <f>IF(E22&lt;&gt;0,IF(B22="Select an account",NOT(ISBLANK(B22)),ISBLANK(B22)))</f>
        <v>0</v>
      </c>
      <c r="O22" s="298" t="b">
        <f>IF(E22=0,IF(B22="R_Unrestricted",ISBLANK(B22),NOT(ISBLANK(B22))))</f>
        <v>0</v>
      </c>
      <c r="P22" s="299" t="b">
        <f>IF(E22&lt;&gt;0,IF(G22="Select Reason",NOT(ISBLANK(G22)),ISBLANK(G22)))</f>
        <v>0</v>
      </c>
      <c r="Q22" s="299" t="b">
        <f>IF(E22=0,IF(G22="Select Reason",ISBLANK(G22),NOT(ISBLANK(G22))))</f>
        <v>0</v>
      </c>
      <c r="R22" s="300" t="b">
        <f>IF(E22=0,ISBLANK(H22),NOT(ISBLANK(H22)))</f>
        <v>1</v>
      </c>
    </row>
    <row r="23" spans="1:18" ht="27.75" customHeight="1" thickBot="1" x14ac:dyDescent="0.3">
      <c r="A23" s="251" t="s">
        <v>312</v>
      </c>
      <c r="B23" s="249"/>
      <c r="C23" s="249"/>
      <c r="D23" s="250" t="str">
        <f>IF(C17=0,"OK",IF(C17&lt;&gt;0,IF((SUM(D19:D22)=0),"Enter beginning balance","OK")))</f>
        <v>OK</v>
      </c>
      <c r="E23" s="250" t="str">
        <f>IF(C17=0,"OK",IF(C17&lt;&gt;0,IF((SUM(E19:E22)=C17),"OK","Check restatement amount")))</f>
        <v>OK</v>
      </c>
      <c r="F23" s="249"/>
      <c r="G23" s="249"/>
      <c r="H23" s="249"/>
      <c r="J23" s="254"/>
      <c r="K23" s="254"/>
      <c r="L23" s="254"/>
      <c r="M23" s="254"/>
      <c r="N23" s="297"/>
      <c r="O23" s="298"/>
      <c r="P23" s="299"/>
      <c r="Q23" s="299"/>
      <c r="R23" s="300"/>
    </row>
    <row r="24" spans="1:18" x14ac:dyDescent="0.25">
      <c r="A24" s="218"/>
      <c r="B24" s="233" t="s">
        <v>313</v>
      </c>
      <c r="C24" s="220"/>
      <c r="D24" s="221"/>
      <c r="E24" s="221"/>
      <c r="F24" s="221"/>
      <c r="G24" s="220"/>
      <c r="H24" s="371"/>
      <c r="J24" s="254"/>
      <c r="K24" s="254"/>
      <c r="L24" s="254"/>
      <c r="M24" s="254"/>
      <c r="N24" s="297"/>
      <c r="O24" s="297"/>
      <c r="P24" s="299"/>
      <c r="Q24" s="299"/>
      <c r="R24" s="300"/>
    </row>
    <row r="25" spans="1:18" x14ac:dyDescent="0.25">
      <c r="A25" s="218"/>
      <c r="B25" s="219" t="s">
        <v>47</v>
      </c>
      <c r="C25" s="372" t="s">
        <v>314</v>
      </c>
      <c r="D25" s="373"/>
      <c r="E25" s="373"/>
      <c r="F25" s="373"/>
      <c r="G25" s="374"/>
      <c r="H25" s="371"/>
      <c r="J25" s="254"/>
      <c r="K25" s="254"/>
      <c r="L25" s="254"/>
      <c r="M25" s="254"/>
      <c r="N25" s="297"/>
      <c r="O25" s="297"/>
      <c r="P25" s="299"/>
      <c r="Q25" s="299"/>
      <c r="R25" s="300"/>
    </row>
    <row r="26" spans="1:18" s="254" customFormat="1" x14ac:dyDescent="0.25">
      <c r="A26" s="361" t="s">
        <v>315</v>
      </c>
      <c r="B26" s="348" t="s">
        <v>316</v>
      </c>
      <c r="C26" s="332" t="str">
        <f>VLOOKUP(B26,Notes!$E$3:$F$26,2,FALSE)</f>
        <v>OSC Use only</v>
      </c>
      <c r="D26" s="290"/>
      <c r="E26" s="291"/>
      <c r="F26" s="331">
        <f t="shared" ref="F26:F61" si="4">D26+E26</f>
        <v>0</v>
      </c>
      <c r="G26" s="265" t="s">
        <v>308</v>
      </c>
      <c r="H26" s="333"/>
      <c r="J26" s="254">
        <f t="shared" ref="J26:J27" si="5">COUNTIF(K26:L26,FALSE)</f>
        <v>0</v>
      </c>
      <c r="K26" s="301" t="b">
        <f t="shared" ref="K26:L33" si="6">ISBLANK(D26)</f>
        <v>1</v>
      </c>
      <c r="L26" s="301" t="b">
        <f t="shared" si="6"/>
        <v>1</v>
      </c>
      <c r="M26" s="301"/>
      <c r="N26" s="297" t="b">
        <f t="shared" ref="N26:N33" si="7">IF(E26&lt;&gt;0,IF(B26="Select an account",NOT(ISBLANK(B26)),ISBLANK(B26)))</f>
        <v>0</v>
      </c>
      <c r="O26" s="298" t="b">
        <f t="shared" ref="O26:O33" si="8">IF(E26=0,IF(B26="Select an account",ISBLANK(B26),NOT(ISBLANK(B26))))</f>
        <v>0</v>
      </c>
      <c r="P26" s="302" t="b">
        <f t="shared" ref="P26:P33" si="9">IF(E26&lt;&gt;0,IF(G26="Select Reason",NOT(ISBLANK(G26)),ISBLANK(G26)))</f>
        <v>0</v>
      </c>
      <c r="Q26" s="302" t="b">
        <f t="shared" ref="Q26:Q33" si="10">IF(E26=0,IF(G26="Select Reason",ISBLANK(G26),NOT(ISBLANK(G26))))</f>
        <v>0</v>
      </c>
      <c r="R26" s="300" t="b">
        <f t="shared" ref="R26:R33" si="11">IF(E26=0,ISBLANK(H26),NOT(ISBLANK(H26)))</f>
        <v>1</v>
      </c>
    </row>
    <row r="27" spans="1:18" s="254" customFormat="1" x14ac:dyDescent="0.25">
      <c r="A27" s="361"/>
      <c r="B27" s="348" t="s">
        <v>316</v>
      </c>
      <c r="C27" s="332" t="str">
        <f>VLOOKUP(B27,Notes!$E$3:$F$26,2,FALSE)</f>
        <v>OSC Use only</v>
      </c>
      <c r="D27" s="290"/>
      <c r="E27" s="291"/>
      <c r="F27" s="331">
        <f t="shared" si="4"/>
        <v>0</v>
      </c>
      <c r="G27" s="265" t="s">
        <v>308</v>
      </c>
      <c r="H27" s="333"/>
      <c r="J27" s="254">
        <f t="shared" si="5"/>
        <v>0</v>
      </c>
      <c r="K27" s="301" t="b">
        <f t="shared" si="6"/>
        <v>1</v>
      </c>
      <c r="L27" s="301" t="b">
        <f t="shared" si="6"/>
        <v>1</v>
      </c>
      <c r="M27" s="301"/>
      <c r="N27" s="297" t="b">
        <f t="shared" si="7"/>
        <v>0</v>
      </c>
      <c r="O27" s="298" t="b">
        <f t="shared" si="8"/>
        <v>0</v>
      </c>
      <c r="P27" s="302" t="b">
        <f t="shared" si="9"/>
        <v>0</v>
      </c>
      <c r="Q27" s="302" t="b">
        <f t="shared" si="10"/>
        <v>0</v>
      </c>
      <c r="R27" s="300" t="b">
        <f t="shared" si="11"/>
        <v>1</v>
      </c>
    </row>
    <row r="28" spans="1:18" s="254" customFormat="1" x14ac:dyDescent="0.25">
      <c r="A28" s="361"/>
      <c r="B28" s="348" t="s">
        <v>316</v>
      </c>
      <c r="C28" s="332" t="str">
        <f>VLOOKUP(B28,Notes!$E$3:$F$26,2,FALSE)</f>
        <v>OSC Use only</v>
      </c>
      <c r="D28" s="290"/>
      <c r="E28" s="291"/>
      <c r="F28" s="331">
        <f t="shared" si="4"/>
        <v>0</v>
      </c>
      <c r="G28" s="265" t="s">
        <v>308</v>
      </c>
      <c r="H28" s="333"/>
      <c r="J28" s="254">
        <f>COUNTIF(K28:L28,FALSE)</f>
        <v>0</v>
      </c>
      <c r="K28" s="301" t="b">
        <f t="shared" si="6"/>
        <v>1</v>
      </c>
      <c r="L28" s="301" t="b">
        <f t="shared" si="6"/>
        <v>1</v>
      </c>
      <c r="M28" s="301"/>
      <c r="N28" s="297" t="b">
        <f t="shared" si="7"/>
        <v>0</v>
      </c>
      <c r="O28" s="298" t="b">
        <f t="shared" si="8"/>
        <v>0</v>
      </c>
      <c r="P28" s="302" t="b">
        <f t="shared" si="9"/>
        <v>0</v>
      </c>
      <c r="Q28" s="302" t="b">
        <f t="shared" si="10"/>
        <v>0</v>
      </c>
      <c r="R28" s="300" t="b">
        <f t="shared" si="11"/>
        <v>1</v>
      </c>
    </row>
    <row r="29" spans="1:18" s="254" customFormat="1" x14ac:dyDescent="0.25">
      <c r="A29" s="361"/>
      <c r="B29" s="348" t="s">
        <v>316</v>
      </c>
      <c r="C29" s="332" t="str">
        <f>VLOOKUP(B29,Notes!$E$3:$F$26,2,FALSE)</f>
        <v>OSC Use only</v>
      </c>
      <c r="D29" s="290"/>
      <c r="E29" s="291"/>
      <c r="F29" s="331">
        <f t="shared" si="4"/>
        <v>0</v>
      </c>
      <c r="G29" s="265" t="s">
        <v>308</v>
      </c>
      <c r="H29" s="333"/>
      <c r="J29" s="254">
        <f t="shared" ref="J29:J33" si="12">COUNTIF(K29:L29,FALSE)</f>
        <v>0</v>
      </c>
      <c r="K29" s="301" t="b">
        <f t="shared" si="6"/>
        <v>1</v>
      </c>
      <c r="L29" s="301" t="b">
        <f t="shared" si="6"/>
        <v>1</v>
      </c>
      <c r="M29" s="301"/>
      <c r="N29" s="297" t="b">
        <f t="shared" si="7"/>
        <v>0</v>
      </c>
      <c r="O29" s="298" t="b">
        <f t="shared" si="8"/>
        <v>0</v>
      </c>
      <c r="P29" s="302" t="b">
        <f t="shared" si="9"/>
        <v>0</v>
      </c>
      <c r="Q29" s="302" t="b">
        <f t="shared" si="10"/>
        <v>0</v>
      </c>
      <c r="R29" s="300" t="b">
        <f t="shared" si="11"/>
        <v>1</v>
      </c>
    </row>
    <row r="30" spans="1:18" s="254" customFormat="1" x14ac:dyDescent="0.25">
      <c r="A30" s="361"/>
      <c r="B30" s="348" t="s">
        <v>316</v>
      </c>
      <c r="C30" s="332" t="str">
        <f>VLOOKUP(B30,Notes!$E$3:$F$26,2,FALSE)</f>
        <v>OSC Use only</v>
      </c>
      <c r="D30" s="290"/>
      <c r="E30" s="291"/>
      <c r="F30" s="331">
        <f t="shared" si="4"/>
        <v>0</v>
      </c>
      <c r="G30" s="265" t="s">
        <v>308</v>
      </c>
      <c r="H30" s="333"/>
      <c r="J30" s="254">
        <f t="shared" si="12"/>
        <v>0</v>
      </c>
      <c r="K30" s="301" t="b">
        <f t="shared" si="6"/>
        <v>1</v>
      </c>
      <c r="L30" s="301" t="b">
        <f t="shared" si="6"/>
        <v>1</v>
      </c>
      <c r="M30" s="301"/>
      <c r="N30" s="297" t="b">
        <f t="shared" si="7"/>
        <v>0</v>
      </c>
      <c r="O30" s="298" t="b">
        <f t="shared" si="8"/>
        <v>0</v>
      </c>
      <c r="P30" s="302" t="b">
        <f t="shared" si="9"/>
        <v>0</v>
      </c>
      <c r="Q30" s="302" t="b">
        <f t="shared" si="10"/>
        <v>0</v>
      </c>
      <c r="R30" s="300" t="b">
        <f t="shared" si="11"/>
        <v>1</v>
      </c>
    </row>
    <row r="31" spans="1:18" s="254" customFormat="1" x14ac:dyDescent="0.25">
      <c r="A31" s="361"/>
      <c r="B31" s="348" t="s">
        <v>316</v>
      </c>
      <c r="C31" s="332" t="str">
        <f>VLOOKUP(B31,Notes!$E$3:$F$26,2,FALSE)</f>
        <v>OSC Use only</v>
      </c>
      <c r="D31" s="290"/>
      <c r="E31" s="291"/>
      <c r="F31" s="331">
        <f t="shared" si="4"/>
        <v>0</v>
      </c>
      <c r="G31" s="265" t="s">
        <v>308</v>
      </c>
      <c r="H31" s="333"/>
      <c r="J31" s="254">
        <f t="shared" si="12"/>
        <v>0</v>
      </c>
      <c r="K31" s="301" t="b">
        <f t="shared" si="6"/>
        <v>1</v>
      </c>
      <c r="L31" s="301" t="b">
        <f t="shared" si="6"/>
        <v>1</v>
      </c>
      <c r="M31" s="301"/>
      <c r="N31" s="297" t="b">
        <f t="shared" si="7"/>
        <v>0</v>
      </c>
      <c r="O31" s="298" t="b">
        <f t="shared" si="8"/>
        <v>0</v>
      </c>
      <c r="P31" s="302" t="b">
        <f t="shared" si="9"/>
        <v>0</v>
      </c>
      <c r="Q31" s="302" t="b">
        <f t="shared" si="10"/>
        <v>0</v>
      </c>
      <c r="R31" s="300" t="b">
        <f t="shared" si="11"/>
        <v>1</v>
      </c>
    </row>
    <row r="32" spans="1:18" s="254" customFormat="1" x14ac:dyDescent="0.25">
      <c r="A32" s="361"/>
      <c r="B32" s="348" t="s">
        <v>316</v>
      </c>
      <c r="C32" s="332" t="str">
        <f>VLOOKUP(B32,Notes!$E$3:$F$26,2,FALSE)</f>
        <v>OSC Use only</v>
      </c>
      <c r="D32" s="290"/>
      <c r="E32" s="291"/>
      <c r="F32" s="331">
        <f t="shared" si="4"/>
        <v>0</v>
      </c>
      <c r="G32" s="265" t="s">
        <v>308</v>
      </c>
      <c r="H32" s="333"/>
      <c r="J32" s="254">
        <f t="shared" si="12"/>
        <v>0</v>
      </c>
      <c r="K32" s="301" t="b">
        <f t="shared" si="6"/>
        <v>1</v>
      </c>
      <c r="L32" s="301" t="b">
        <f t="shared" si="6"/>
        <v>1</v>
      </c>
      <c r="M32" s="301"/>
      <c r="N32" s="297" t="b">
        <f t="shared" si="7"/>
        <v>0</v>
      </c>
      <c r="O32" s="298" t="b">
        <f t="shared" si="8"/>
        <v>0</v>
      </c>
      <c r="P32" s="302" t="b">
        <f t="shared" si="9"/>
        <v>0</v>
      </c>
      <c r="Q32" s="302" t="b">
        <f t="shared" si="10"/>
        <v>0</v>
      </c>
      <c r="R32" s="300" t="b">
        <f t="shared" si="11"/>
        <v>1</v>
      </c>
    </row>
    <row r="33" spans="1:18" s="254" customFormat="1" x14ac:dyDescent="0.25">
      <c r="A33" s="361"/>
      <c r="B33" s="348" t="s">
        <v>316</v>
      </c>
      <c r="C33" s="332" t="str">
        <f>VLOOKUP(B33,Notes!$E$3:$F$26,2,FALSE)</f>
        <v>OSC Use only</v>
      </c>
      <c r="D33" s="290"/>
      <c r="E33" s="291"/>
      <c r="F33" s="331">
        <f t="shared" si="4"/>
        <v>0</v>
      </c>
      <c r="G33" s="265" t="s">
        <v>308</v>
      </c>
      <c r="H33" s="333"/>
      <c r="J33" s="254">
        <f t="shared" si="12"/>
        <v>0</v>
      </c>
      <c r="K33" s="301" t="b">
        <f t="shared" si="6"/>
        <v>1</v>
      </c>
      <c r="L33" s="301" t="b">
        <f t="shared" si="6"/>
        <v>1</v>
      </c>
      <c r="M33" s="301"/>
      <c r="N33" s="297" t="b">
        <f t="shared" si="7"/>
        <v>0</v>
      </c>
      <c r="O33" s="298" t="b">
        <f t="shared" si="8"/>
        <v>0</v>
      </c>
      <c r="P33" s="302" t="b">
        <f t="shared" si="9"/>
        <v>0</v>
      </c>
      <c r="Q33" s="302" t="b">
        <f t="shared" si="10"/>
        <v>0</v>
      </c>
      <c r="R33" s="300" t="b">
        <f t="shared" si="11"/>
        <v>1</v>
      </c>
    </row>
    <row r="34" spans="1:18" x14ac:dyDescent="0.25">
      <c r="B34" s="219" t="s">
        <v>317</v>
      </c>
      <c r="C34" s="372" t="s">
        <v>318</v>
      </c>
      <c r="D34" s="373"/>
      <c r="E34" s="373"/>
      <c r="F34" s="373"/>
      <c r="G34" s="374"/>
      <c r="H34" s="216"/>
      <c r="J34" s="254"/>
      <c r="K34" s="254"/>
      <c r="L34" s="254"/>
      <c r="M34" s="254"/>
      <c r="N34" s="297"/>
      <c r="O34" s="297"/>
      <c r="P34" s="299"/>
      <c r="Q34" s="299"/>
      <c r="R34" s="300"/>
    </row>
    <row r="35" spans="1:18" s="254" customFormat="1" x14ac:dyDescent="0.25">
      <c r="A35" s="361" t="s">
        <v>319</v>
      </c>
      <c r="B35" s="348" t="s">
        <v>316</v>
      </c>
      <c r="C35" s="332" t="str">
        <f>VLOOKUP(B35,Notes!$E$27:$F$49,2,FALSE)</f>
        <v>OSC Use only</v>
      </c>
      <c r="D35" s="290"/>
      <c r="E35" s="291"/>
      <c r="F35" s="331">
        <f t="shared" si="4"/>
        <v>0</v>
      </c>
      <c r="G35" s="265" t="s">
        <v>308</v>
      </c>
      <c r="H35" s="333"/>
      <c r="J35" s="254">
        <f t="shared" ref="J35:J42" si="13">COUNTIF(K35:L35,FALSE)</f>
        <v>0</v>
      </c>
      <c r="K35" s="301" t="b">
        <f t="shared" ref="K35:L42" si="14">ISBLANK(D35)</f>
        <v>1</v>
      </c>
      <c r="L35" s="301" t="b">
        <f t="shared" si="14"/>
        <v>1</v>
      </c>
      <c r="M35" s="301"/>
      <c r="N35" s="297" t="b">
        <f t="shared" ref="N35:N42" si="15">IF(E35&lt;&gt;0,IF(B35="Select an account",NOT(ISBLANK(B35)),ISBLANK(B35)))</f>
        <v>0</v>
      </c>
      <c r="O35" s="298" t="b">
        <f t="shared" ref="O35:O42" si="16">IF(E35=0,IF(B35="Select an account",ISBLANK(B35),NOT(ISBLANK(B35))))</f>
        <v>0</v>
      </c>
      <c r="P35" s="302" t="b">
        <f t="shared" ref="P35:P42" si="17">IF(E35&lt;&gt;0,IF(G35="Select Reason",NOT(ISBLANK(G35)),ISBLANK(G35)))</f>
        <v>0</v>
      </c>
      <c r="Q35" s="299" t="b">
        <f t="shared" ref="Q35:Q42" si="18">IF(E35=0,IF(G35="Select Reason",ISBLANK(G35),NOT(ISBLANK(G35))))</f>
        <v>0</v>
      </c>
      <c r="R35" s="300" t="b">
        <f t="shared" ref="R35:R42" si="19">IF(E35=0,ISBLANK(H35),NOT(ISBLANK(H35)))</f>
        <v>1</v>
      </c>
    </row>
    <row r="36" spans="1:18" s="254" customFormat="1" x14ac:dyDescent="0.25">
      <c r="A36" s="361"/>
      <c r="B36" s="348" t="s">
        <v>316</v>
      </c>
      <c r="C36" s="332" t="str">
        <f>VLOOKUP(B36,Notes!$E$27:$F$49,2,FALSE)</f>
        <v>OSC Use only</v>
      </c>
      <c r="D36" s="290"/>
      <c r="E36" s="291"/>
      <c r="F36" s="331">
        <f t="shared" si="4"/>
        <v>0</v>
      </c>
      <c r="G36" s="265" t="s">
        <v>308</v>
      </c>
      <c r="H36" s="333"/>
      <c r="J36" s="254">
        <f t="shared" si="13"/>
        <v>0</v>
      </c>
      <c r="K36" s="301" t="b">
        <f t="shared" si="14"/>
        <v>1</v>
      </c>
      <c r="L36" s="301" t="b">
        <f t="shared" si="14"/>
        <v>1</v>
      </c>
      <c r="M36" s="301"/>
      <c r="N36" s="297" t="b">
        <f t="shared" si="15"/>
        <v>0</v>
      </c>
      <c r="O36" s="298" t="b">
        <f t="shared" si="16"/>
        <v>0</v>
      </c>
      <c r="P36" s="302" t="b">
        <f t="shared" si="17"/>
        <v>0</v>
      </c>
      <c r="Q36" s="299" t="b">
        <f t="shared" si="18"/>
        <v>0</v>
      </c>
      <c r="R36" s="300" t="b">
        <f t="shared" si="19"/>
        <v>1</v>
      </c>
    </row>
    <row r="37" spans="1:18" s="254" customFormat="1" x14ac:dyDescent="0.25">
      <c r="A37" s="361"/>
      <c r="B37" s="348" t="s">
        <v>727</v>
      </c>
      <c r="C37" s="332" t="str">
        <f>VLOOKUP(B37,Notes!$E$27:$F$49,2,FALSE)</f>
        <v>R_Interest rate swap fair value liability</v>
      </c>
      <c r="D37" s="290"/>
      <c r="E37" s="292"/>
      <c r="F37" s="331">
        <f t="shared" si="4"/>
        <v>0</v>
      </c>
      <c r="G37" s="265" t="s">
        <v>308</v>
      </c>
      <c r="H37" s="333"/>
      <c r="J37" s="254">
        <f t="shared" si="13"/>
        <v>0</v>
      </c>
      <c r="K37" s="301" t="b">
        <f t="shared" si="14"/>
        <v>1</v>
      </c>
      <c r="L37" s="301" t="b">
        <f t="shared" si="14"/>
        <v>1</v>
      </c>
      <c r="M37" s="301"/>
      <c r="N37" s="297" t="b">
        <f t="shared" si="15"/>
        <v>0</v>
      </c>
      <c r="O37" s="298" t="b">
        <f t="shared" si="16"/>
        <v>1</v>
      </c>
      <c r="P37" s="302" t="b">
        <f t="shared" si="17"/>
        <v>0</v>
      </c>
      <c r="Q37" s="299" t="b">
        <f t="shared" si="18"/>
        <v>0</v>
      </c>
      <c r="R37" s="300" t="b">
        <f t="shared" si="19"/>
        <v>1</v>
      </c>
    </row>
    <row r="38" spans="1:18" s="254" customFormat="1" x14ac:dyDescent="0.25">
      <c r="A38" s="361"/>
      <c r="B38" s="348" t="s">
        <v>316</v>
      </c>
      <c r="C38" s="332" t="str">
        <f>VLOOKUP(B38,Notes!$E$27:$F$49,2,FALSE)</f>
        <v>OSC Use only</v>
      </c>
      <c r="D38" s="290"/>
      <c r="E38" s="291"/>
      <c r="F38" s="331">
        <f t="shared" si="4"/>
        <v>0</v>
      </c>
      <c r="G38" s="265" t="s">
        <v>308</v>
      </c>
      <c r="H38" s="349"/>
      <c r="J38" s="254">
        <f t="shared" si="13"/>
        <v>0</v>
      </c>
      <c r="K38" s="301" t="b">
        <f t="shared" si="14"/>
        <v>1</v>
      </c>
      <c r="L38" s="301" t="b">
        <f t="shared" si="14"/>
        <v>1</v>
      </c>
      <c r="M38" s="301"/>
      <c r="N38" s="297" t="b">
        <f t="shared" si="15"/>
        <v>0</v>
      </c>
      <c r="O38" s="298" t="b">
        <f t="shared" si="16"/>
        <v>0</v>
      </c>
      <c r="P38" s="302" t="b">
        <f t="shared" si="17"/>
        <v>0</v>
      </c>
      <c r="Q38" s="299" t="b">
        <f t="shared" si="18"/>
        <v>0</v>
      </c>
      <c r="R38" s="300" t="b">
        <f t="shared" si="19"/>
        <v>1</v>
      </c>
    </row>
    <row r="39" spans="1:18" s="254" customFormat="1" x14ac:dyDescent="0.25">
      <c r="A39" s="361"/>
      <c r="B39" s="348" t="s">
        <v>316</v>
      </c>
      <c r="C39" s="332" t="str">
        <f>VLOOKUP(B39,Notes!$E$27:$F$49,2,FALSE)</f>
        <v>OSC Use only</v>
      </c>
      <c r="D39" s="290"/>
      <c r="E39" s="291"/>
      <c r="F39" s="331">
        <f t="shared" si="4"/>
        <v>0</v>
      </c>
      <c r="G39" s="265" t="s">
        <v>308</v>
      </c>
      <c r="H39" s="349"/>
      <c r="J39" s="254">
        <f t="shared" si="13"/>
        <v>0</v>
      </c>
      <c r="K39" s="301" t="b">
        <f t="shared" si="14"/>
        <v>1</v>
      </c>
      <c r="L39" s="301" t="b">
        <f t="shared" si="14"/>
        <v>1</v>
      </c>
      <c r="M39" s="301"/>
      <c r="N39" s="297" t="b">
        <f t="shared" si="15"/>
        <v>0</v>
      </c>
      <c r="O39" s="298" t="b">
        <f t="shared" si="16"/>
        <v>0</v>
      </c>
      <c r="P39" s="302" t="b">
        <f t="shared" si="17"/>
        <v>0</v>
      </c>
      <c r="Q39" s="299" t="b">
        <f t="shared" si="18"/>
        <v>0</v>
      </c>
      <c r="R39" s="300" t="b">
        <f t="shared" si="19"/>
        <v>1</v>
      </c>
    </row>
    <row r="40" spans="1:18" s="254" customFormat="1" x14ac:dyDescent="0.25">
      <c r="A40" s="361"/>
      <c r="B40" s="348" t="s">
        <v>316</v>
      </c>
      <c r="C40" s="332" t="str">
        <f>VLOOKUP(B40,Notes!$E$27:$F$49,2,FALSE)</f>
        <v>OSC Use only</v>
      </c>
      <c r="D40" s="290"/>
      <c r="E40" s="292"/>
      <c r="F40" s="331">
        <f t="shared" si="4"/>
        <v>0</v>
      </c>
      <c r="G40" s="265" t="s">
        <v>308</v>
      </c>
      <c r="H40" s="349"/>
      <c r="J40" s="254">
        <f t="shared" si="13"/>
        <v>0</v>
      </c>
      <c r="K40" s="301" t="b">
        <f t="shared" si="14"/>
        <v>1</v>
      </c>
      <c r="L40" s="301" t="b">
        <f t="shared" si="14"/>
        <v>1</v>
      </c>
      <c r="M40" s="301"/>
      <c r="N40" s="297" t="b">
        <f t="shared" si="15"/>
        <v>0</v>
      </c>
      <c r="O40" s="298" t="b">
        <f t="shared" si="16"/>
        <v>0</v>
      </c>
      <c r="P40" s="302" t="b">
        <f t="shared" si="17"/>
        <v>0</v>
      </c>
      <c r="Q40" s="299" t="b">
        <f t="shared" si="18"/>
        <v>0</v>
      </c>
      <c r="R40" s="300" t="b">
        <f t="shared" si="19"/>
        <v>1</v>
      </c>
    </row>
    <row r="41" spans="1:18" s="254" customFormat="1" x14ac:dyDescent="0.25">
      <c r="A41" s="361"/>
      <c r="B41" s="348" t="s">
        <v>316</v>
      </c>
      <c r="C41" s="332" t="str">
        <f>VLOOKUP(B41,Notes!$E$27:$F$49,2,FALSE)</f>
        <v>OSC Use only</v>
      </c>
      <c r="D41" s="290"/>
      <c r="E41" s="291"/>
      <c r="F41" s="331">
        <f t="shared" si="4"/>
        <v>0</v>
      </c>
      <c r="G41" s="265" t="s">
        <v>308</v>
      </c>
      <c r="H41" s="349"/>
      <c r="J41" s="254">
        <f t="shared" si="13"/>
        <v>0</v>
      </c>
      <c r="K41" s="301" t="b">
        <f t="shared" si="14"/>
        <v>1</v>
      </c>
      <c r="L41" s="301" t="b">
        <f t="shared" si="14"/>
        <v>1</v>
      </c>
      <c r="M41" s="301"/>
      <c r="N41" s="297" t="b">
        <f t="shared" si="15"/>
        <v>0</v>
      </c>
      <c r="O41" s="298" t="b">
        <f t="shared" si="16"/>
        <v>0</v>
      </c>
      <c r="P41" s="302" t="b">
        <f t="shared" si="17"/>
        <v>0</v>
      </c>
      <c r="Q41" s="299" t="b">
        <f t="shared" si="18"/>
        <v>0</v>
      </c>
      <c r="R41" s="300" t="b">
        <f t="shared" si="19"/>
        <v>1</v>
      </c>
    </row>
    <row r="42" spans="1:18" s="254" customFormat="1" ht="13.8" thickBot="1" x14ac:dyDescent="0.3">
      <c r="A42" s="361"/>
      <c r="B42" s="348" t="s">
        <v>316</v>
      </c>
      <c r="C42" s="332" t="str">
        <f>VLOOKUP(B42,Notes!$E$27:$F$49,2,FALSE)</f>
        <v>OSC Use only</v>
      </c>
      <c r="D42" s="290"/>
      <c r="E42" s="291"/>
      <c r="F42" s="331">
        <f t="shared" si="4"/>
        <v>0</v>
      </c>
      <c r="G42" s="265" t="s">
        <v>308</v>
      </c>
      <c r="H42" s="349"/>
      <c r="J42" s="254">
        <f t="shared" si="13"/>
        <v>0</v>
      </c>
      <c r="K42" s="301" t="b">
        <f t="shared" si="14"/>
        <v>1</v>
      </c>
      <c r="L42" s="301" t="b">
        <f t="shared" si="14"/>
        <v>1</v>
      </c>
      <c r="M42" s="301"/>
      <c r="N42" s="297" t="b">
        <f t="shared" si="15"/>
        <v>0</v>
      </c>
      <c r="O42" s="298" t="b">
        <f t="shared" si="16"/>
        <v>0</v>
      </c>
      <c r="P42" s="302" t="b">
        <f t="shared" si="17"/>
        <v>0</v>
      </c>
      <c r="Q42" s="299" t="b">
        <f t="shared" si="18"/>
        <v>0</v>
      </c>
      <c r="R42" s="300" t="b">
        <f t="shared" si="19"/>
        <v>1</v>
      </c>
    </row>
    <row r="43" spans="1:18" ht="18" thickBot="1" x14ac:dyDescent="0.3">
      <c r="A43" s="254"/>
      <c r="B43" s="380" t="s">
        <v>320</v>
      </c>
      <c r="C43" s="380"/>
      <c r="D43" s="381"/>
      <c r="E43" s="255">
        <f>SUM(E26:E33)-SUM(E35:E42)</f>
        <v>0</v>
      </c>
      <c r="F43" s="256" t="str">
        <f>IF(E43&lt;&gt;0,"Ensure Balance Sheet Change Equals Operating Statement Change","")</f>
        <v/>
      </c>
      <c r="G43" s="257"/>
      <c r="H43" s="257"/>
      <c r="J43" s="254"/>
      <c r="K43" s="301"/>
      <c r="L43" s="301"/>
      <c r="M43" s="301"/>
      <c r="N43" s="297"/>
      <c r="O43" s="298"/>
      <c r="P43" s="302"/>
      <c r="Q43" s="299"/>
      <c r="R43" s="300"/>
    </row>
    <row r="44" spans="1:18" x14ac:dyDescent="0.25">
      <c r="B44" s="219" t="s">
        <v>268</v>
      </c>
      <c r="C44" s="372" t="s">
        <v>321</v>
      </c>
      <c r="D44" s="373"/>
      <c r="E44" s="373"/>
      <c r="F44" s="373"/>
      <c r="G44" s="374"/>
      <c r="H44" s="282"/>
      <c r="J44" s="254"/>
      <c r="K44" s="254"/>
      <c r="L44" s="254"/>
      <c r="M44" s="254"/>
      <c r="N44" s="297"/>
      <c r="O44" s="297"/>
      <c r="P44" s="299"/>
      <c r="Q44" s="299"/>
      <c r="R44" s="300"/>
    </row>
    <row r="45" spans="1:18" s="254" customFormat="1" x14ac:dyDescent="0.25">
      <c r="A45" s="361" t="s">
        <v>322</v>
      </c>
      <c r="B45" s="348" t="s">
        <v>316</v>
      </c>
      <c r="C45" s="332" t="str">
        <f>VLOOKUP(B45,Notes!$E$52:$F$63,2,FALSE)</f>
        <v>OSC Use only</v>
      </c>
      <c r="D45" s="290"/>
      <c r="E45" s="291"/>
      <c r="F45" s="331">
        <f t="shared" si="4"/>
        <v>0</v>
      </c>
      <c r="G45" s="265" t="s">
        <v>308</v>
      </c>
      <c r="H45" s="333"/>
      <c r="J45" s="254">
        <f t="shared" ref="J45:J52" si="20">COUNTIF(K45:L45,FALSE)</f>
        <v>0</v>
      </c>
      <c r="K45" s="301" t="b">
        <f t="shared" ref="K45:L52" si="21">ISBLANK(D45)</f>
        <v>1</v>
      </c>
      <c r="L45" s="301" t="b">
        <f t="shared" si="21"/>
        <v>1</v>
      </c>
      <c r="M45" s="301"/>
      <c r="N45" s="297" t="b">
        <f t="shared" ref="N45:N52" si="22">IF(E45&lt;&gt;0,IF(B45="Select an account",NOT(ISBLANK(B45)),ISBLANK(B45)))</f>
        <v>0</v>
      </c>
      <c r="O45" s="298" t="b">
        <f t="shared" ref="O45:O52" si="23">IF(E45=0,IF(B45="Select an account",ISBLANK(B45),NOT(ISBLANK(B45))))</f>
        <v>0</v>
      </c>
      <c r="P45" s="302" t="b">
        <f t="shared" ref="P45:P52" si="24">IF(E45&lt;&gt;0,IF(G45="Select Reason",NOT(ISBLANK(G45)),ISBLANK(G45)))</f>
        <v>0</v>
      </c>
      <c r="Q45" s="299" t="b">
        <f t="shared" ref="Q45:Q52" si="25">IF(E45=0,IF(G45="Select Reason",ISBLANK(G45),NOT(ISBLANK(G45))))</f>
        <v>0</v>
      </c>
      <c r="R45" s="300" t="b">
        <f t="shared" ref="R45:R52" si="26">IF(E45=0,ISBLANK(H45),NOT(ISBLANK(H45)))</f>
        <v>1</v>
      </c>
    </row>
    <row r="46" spans="1:18" s="254" customFormat="1" x14ac:dyDescent="0.25">
      <c r="A46" s="361"/>
      <c r="B46" s="348" t="s">
        <v>316</v>
      </c>
      <c r="C46" s="332" t="str">
        <f>VLOOKUP(B46,Notes!$E$52:$F$63,2,FALSE)</f>
        <v>OSC Use only</v>
      </c>
      <c r="D46" s="290"/>
      <c r="E46" s="291"/>
      <c r="F46" s="331">
        <f t="shared" si="4"/>
        <v>0</v>
      </c>
      <c r="G46" s="265" t="s">
        <v>308</v>
      </c>
      <c r="H46" s="333"/>
      <c r="J46" s="254">
        <f t="shared" si="20"/>
        <v>0</v>
      </c>
      <c r="K46" s="301" t="b">
        <f t="shared" si="21"/>
        <v>1</v>
      </c>
      <c r="L46" s="301" t="b">
        <f t="shared" si="21"/>
        <v>1</v>
      </c>
      <c r="M46" s="301"/>
      <c r="N46" s="297" t="b">
        <f t="shared" si="22"/>
        <v>0</v>
      </c>
      <c r="O46" s="298" t="b">
        <f t="shared" si="23"/>
        <v>0</v>
      </c>
      <c r="P46" s="302" t="b">
        <f t="shared" si="24"/>
        <v>0</v>
      </c>
      <c r="Q46" s="299" t="b">
        <f t="shared" si="25"/>
        <v>0</v>
      </c>
      <c r="R46" s="300" t="b">
        <f t="shared" si="26"/>
        <v>1</v>
      </c>
    </row>
    <row r="47" spans="1:18" s="254" customFormat="1" x14ac:dyDescent="0.25">
      <c r="A47" s="361"/>
      <c r="B47" s="348" t="s">
        <v>316</v>
      </c>
      <c r="C47" s="332" t="str">
        <f>VLOOKUP(B47,Notes!$E$52:$F$63,2,FALSE)</f>
        <v>OSC Use only</v>
      </c>
      <c r="D47" s="290"/>
      <c r="E47" s="291"/>
      <c r="F47" s="331">
        <f t="shared" si="4"/>
        <v>0</v>
      </c>
      <c r="G47" s="265" t="s">
        <v>308</v>
      </c>
      <c r="H47" s="333"/>
      <c r="J47" s="254">
        <f t="shared" si="20"/>
        <v>0</v>
      </c>
      <c r="K47" s="301" t="b">
        <f t="shared" si="21"/>
        <v>1</v>
      </c>
      <c r="L47" s="301" t="b">
        <f t="shared" si="21"/>
        <v>1</v>
      </c>
      <c r="M47" s="301"/>
      <c r="N47" s="297" t="b">
        <f t="shared" si="22"/>
        <v>0</v>
      </c>
      <c r="O47" s="298" t="b">
        <f t="shared" si="23"/>
        <v>0</v>
      </c>
      <c r="P47" s="302" t="b">
        <f t="shared" si="24"/>
        <v>0</v>
      </c>
      <c r="Q47" s="299" t="b">
        <f t="shared" si="25"/>
        <v>0</v>
      </c>
      <c r="R47" s="300" t="b">
        <f t="shared" si="26"/>
        <v>1</v>
      </c>
    </row>
    <row r="48" spans="1:18" s="254" customFormat="1" x14ac:dyDescent="0.25">
      <c r="A48" s="361"/>
      <c r="B48" s="348" t="s">
        <v>316</v>
      </c>
      <c r="C48" s="332" t="str">
        <f>VLOOKUP(B48,Notes!$E$52:$F$63,2,FALSE)</f>
        <v>OSC Use only</v>
      </c>
      <c r="D48" s="290"/>
      <c r="E48" s="291"/>
      <c r="F48" s="331">
        <f t="shared" si="4"/>
        <v>0</v>
      </c>
      <c r="G48" s="265" t="s">
        <v>308</v>
      </c>
      <c r="H48" s="333"/>
      <c r="J48" s="254">
        <f t="shared" si="20"/>
        <v>0</v>
      </c>
      <c r="K48" s="301" t="b">
        <f t="shared" si="21"/>
        <v>1</v>
      </c>
      <c r="L48" s="301" t="b">
        <f t="shared" si="21"/>
        <v>1</v>
      </c>
      <c r="M48" s="301"/>
      <c r="N48" s="297" t="b">
        <f t="shared" si="22"/>
        <v>0</v>
      </c>
      <c r="O48" s="298" t="b">
        <f t="shared" si="23"/>
        <v>0</v>
      </c>
      <c r="P48" s="302" t="b">
        <f t="shared" si="24"/>
        <v>0</v>
      </c>
      <c r="Q48" s="299" t="b">
        <f t="shared" si="25"/>
        <v>0</v>
      </c>
      <c r="R48" s="300" t="b">
        <f t="shared" si="26"/>
        <v>1</v>
      </c>
    </row>
    <row r="49" spans="1:18" s="254" customFormat="1" x14ac:dyDescent="0.25">
      <c r="A49" s="361"/>
      <c r="B49" s="348" t="s">
        <v>316</v>
      </c>
      <c r="C49" s="332" t="str">
        <f>VLOOKUP(B49,Notes!$E$52:$F$63,2,FALSE)</f>
        <v>OSC Use only</v>
      </c>
      <c r="D49" s="290"/>
      <c r="E49" s="291"/>
      <c r="F49" s="331">
        <f t="shared" si="4"/>
        <v>0</v>
      </c>
      <c r="G49" s="265" t="s">
        <v>308</v>
      </c>
      <c r="H49" s="333"/>
      <c r="J49" s="254">
        <f t="shared" si="20"/>
        <v>0</v>
      </c>
      <c r="K49" s="301" t="b">
        <f t="shared" si="21"/>
        <v>1</v>
      </c>
      <c r="L49" s="301" t="b">
        <f t="shared" si="21"/>
        <v>1</v>
      </c>
      <c r="M49" s="301"/>
      <c r="N49" s="297" t="b">
        <f t="shared" si="22"/>
        <v>0</v>
      </c>
      <c r="O49" s="298" t="b">
        <f t="shared" si="23"/>
        <v>0</v>
      </c>
      <c r="P49" s="302" t="b">
        <f t="shared" si="24"/>
        <v>0</v>
      </c>
      <c r="Q49" s="299" t="b">
        <f t="shared" si="25"/>
        <v>0</v>
      </c>
      <c r="R49" s="300" t="b">
        <f t="shared" si="26"/>
        <v>1</v>
      </c>
    </row>
    <row r="50" spans="1:18" s="254" customFormat="1" x14ac:dyDescent="0.25">
      <c r="A50" s="361"/>
      <c r="B50" s="348" t="s">
        <v>316</v>
      </c>
      <c r="C50" s="332" t="str">
        <f>VLOOKUP(B50,Notes!$E$52:$F$63,2,FALSE)</f>
        <v>OSC Use only</v>
      </c>
      <c r="D50" s="290"/>
      <c r="E50" s="291"/>
      <c r="F50" s="331">
        <f t="shared" si="4"/>
        <v>0</v>
      </c>
      <c r="G50" s="265" t="s">
        <v>308</v>
      </c>
      <c r="H50" s="333"/>
      <c r="J50" s="254">
        <f t="shared" si="20"/>
        <v>0</v>
      </c>
      <c r="K50" s="301" t="b">
        <f t="shared" si="21"/>
        <v>1</v>
      </c>
      <c r="L50" s="301" t="b">
        <f t="shared" si="21"/>
        <v>1</v>
      </c>
      <c r="M50" s="301"/>
      <c r="N50" s="297" t="b">
        <f t="shared" si="22"/>
        <v>0</v>
      </c>
      <c r="O50" s="298" t="b">
        <f t="shared" si="23"/>
        <v>0</v>
      </c>
      <c r="P50" s="302" t="b">
        <f t="shared" si="24"/>
        <v>0</v>
      </c>
      <c r="Q50" s="299" t="b">
        <f t="shared" si="25"/>
        <v>0</v>
      </c>
      <c r="R50" s="300" t="b">
        <f t="shared" si="26"/>
        <v>1</v>
      </c>
    </row>
    <row r="51" spans="1:18" s="254" customFormat="1" x14ac:dyDescent="0.25">
      <c r="A51" s="361"/>
      <c r="B51" s="348" t="s">
        <v>316</v>
      </c>
      <c r="C51" s="332" t="str">
        <f>VLOOKUP(B51,Notes!$E$52:$F$63,2,FALSE)</f>
        <v>OSC Use only</v>
      </c>
      <c r="D51" s="290"/>
      <c r="E51" s="291"/>
      <c r="F51" s="331">
        <f t="shared" si="4"/>
        <v>0</v>
      </c>
      <c r="G51" s="265" t="s">
        <v>308</v>
      </c>
      <c r="H51" s="333"/>
      <c r="J51" s="254">
        <f t="shared" si="20"/>
        <v>0</v>
      </c>
      <c r="K51" s="301" t="b">
        <f t="shared" si="21"/>
        <v>1</v>
      </c>
      <c r="L51" s="301" t="b">
        <f t="shared" si="21"/>
        <v>1</v>
      </c>
      <c r="M51" s="301"/>
      <c r="N51" s="297" t="b">
        <f t="shared" si="22"/>
        <v>0</v>
      </c>
      <c r="O51" s="298" t="b">
        <f t="shared" si="23"/>
        <v>0</v>
      </c>
      <c r="P51" s="302" t="b">
        <f t="shared" si="24"/>
        <v>0</v>
      </c>
      <c r="Q51" s="299" t="b">
        <f t="shared" si="25"/>
        <v>0</v>
      </c>
      <c r="R51" s="300" t="b">
        <f t="shared" si="26"/>
        <v>1</v>
      </c>
    </row>
    <row r="52" spans="1:18" s="254" customFormat="1" x14ac:dyDescent="0.25">
      <c r="A52" s="361"/>
      <c r="B52" s="348" t="s">
        <v>316</v>
      </c>
      <c r="C52" s="332" t="str">
        <f>VLOOKUP(B52,Notes!$E$52:$F$63,2,FALSE)</f>
        <v>OSC Use only</v>
      </c>
      <c r="D52" s="290"/>
      <c r="E52" s="291"/>
      <c r="F52" s="331">
        <f t="shared" si="4"/>
        <v>0</v>
      </c>
      <c r="G52" s="265" t="s">
        <v>308</v>
      </c>
      <c r="H52" s="333"/>
      <c r="J52" s="254">
        <f t="shared" si="20"/>
        <v>0</v>
      </c>
      <c r="K52" s="301" t="b">
        <f t="shared" si="21"/>
        <v>1</v>
      </c>
      <c r="L52" s="301" t="b">
        <f t="shared" si="21"/>
        <v>1</v>
      </c>
      <c r="M52" s="301"/>
      <c r="N52" s="297" t="b">
        <f t="shared" si="22"/>
        <v>0</v>
      </c>
      <c r="O52" s="298" t="b">
        <f t="shared" si="23"/>
        <v>0</v>
      </c>
      <c r="P52" s="302" t="b">
        <f t="shared" si="24"/>
        <v>0</v>
      </c>
      <c r="Q52" s="299" t="b">
        <f t="shared" si="25"/>
        <v>0</v>
      </c>
      <c r="R52" s="300" t="b">
        <f t="shared" si="26"/>
        <v>1</v>
      </c>
    </row>
    <row r="53" spans="1:18" x14ac:dyDescent="0.25">
      <c r="B53" s="219" t="s">
        <v>271</v>
      </c>
      <c r="C53" s="372" t="s">
        <v>323</v>
      </c>
      <c r="D53" s="373"/>
      <c r="E53" s="373"/>
      <c r="F53" s="373"/>
      <c r="G53" s="374"/>
      <c r="H53" s="282"/>
      <c r="J53" s="254"/>
      <c r="K53" s="254"/>
      <c r="L53" s="254"/>
      <c r="M53" s="254"/>
      <c r="N53" s="297"/>
      <c r="O53" s="297"/>
      <c r="P53" s="299"/>
      <c r="Q53" s="299"/>
      <c r="R53" s="300"/>
    </row>
    <row r="54" spans="1:18" s="254" customFormat="1" x14ac:dyDescent="0.25">
      <c r="A54" s="361" t="s">
        <v>324</v>
      </c>
      <c r="B54" s="348" t="s">
        <v>316</v>
      </c>
      <c r="C54" s="332" t="str">
        <f>VLOOKUP(B54,Notes!$E$66:$F$70,2,FALSE)</f>
        <v>OSC Use only</v>
      </c>
      <c r="D54" s="290"/>
      <c r="E54" s="291"/>
      <c r="F54" s="331">
        <f t="shared" si="4"/>
        <v>0</v>
      </c>
      <c r="G54" s="265" t="s">
        <v>308</v>
      </c>
      <c r="H54" s="333"/>
      <c r="J54" s="254">
        <f t="shared" ref="J54:J61" si="27">COUNTIF(K54:L54,FALSE)</f>
        <v>0</v>
      </c>
      <c r="K54" s="301" t="b">
        <f t="shared" ref="K54:L61" si="28">ISBLANK(D54)</f>
        <v>1</v>
      </c>
      <c r="L54" s="301" t="b">
        <f t="shared" si="28"/>
        <v>1</v>
      </c>
      <c r="M54" s="301"/>
      <c r="N54" s="297" t="b">
        <f t="shared" ref="N54:N61" si="29">IF(E54&lt;&gt;0,IF(B54="Select an account",NOT(ISBLANK(B54)),ISBLANK(B54)))</f>
        <v>0</v>
      </c>
      <c r="O54" s="298" t="b">
        <f t="shared" ref="O54:O61" si="30">IF(E54=0,IF(B54="Select an account",ISBLANK(B54),NOT(ISBLANK(B54))))</f>
        <v>0</v>
      </c>
      <c r="P54" s="302" t="b">
        <f t="shared" ref="P54:P61" si="31">IF(E54&lt;&gt;0,IF(G54="Select Reason",NOT(ISBLANK(G54)),ISBLANK(G54)))</f>
        <v>0</v>
      </c>
      <c r="Q54" s="299" t="b">
        <f t="shared" ref="Q54:Q61" si="32">IF(E54=0,IF(G54="Select Reason",ISBLANK(G54),NOT(ISBLANK(G54))))</f>
        <v>0</v>
      </c>
      <c r="R54" s="300" t="b">
        <f t="shared" ref="R54:R61" si="33">IF(E54=0,ISBLANK(H54),NOT(ISBLANK(H54)))</f>
        <v>1</v>
      </c>
    </row>
    <row r="55" spans="1:18" s="254" customFormat="1" x14ac:dyDescent="0.25">
      <c r="A55" s="361"/>
      <c r="B55" s="348" t="s">
        <v>316</v>
      </c>
      <c r="C55" s="332" t="str">
        <f>VLOOKUP(B55,Notes!$E$66:$F$70,2,FALSE)</f>
        <v>OSC Use only</v>
      </c>
      <c r="D55" s="290"/>
      <c r="E55" s="291"/>
      <c r="F55" s="331">
        <f t="shared" si="4"/>
        <v>0</v>
      </c>
      <c r="G55" s="265" t="s">
        <v>308</v>
      </c>
      <c r="H55" s="333"/>
      <c r="J55" s="254">
        <f t="shared" si="27"/>
        <v>0</v>
      </c>
      <c r="K55" s="301" t="b">
        <f t="shared" si="28"/>
        <v>1</v>
      </c>
      <c r="L55" s="301" t="b">
        <f t="shared" si="28"/>
        <v>1</v>
      </c>
      <c r="M55" s="301"/>
      <c r="N55" s="297" t="b">
        <f t="shared" si="29"/>
        <v>0</v>
      </c>
      <c r="O55" s="298" t="b">
        <f t="shared" si="30"/>
        <v>0</v>
      </c>
      <c r="P55" s="302" t="b">
        <f t="shared" si="31"/>
        <v>0</v>
      </c>
      <c r="Q55" s="299" t="b">
        <f t="shared" si="32"/>
        <v>0</v>
      </c>
      <c r="R55" s="300" t="b">
        <f t="shared" si="33"/>
        <v>1</v>
      </c>
    </row>
    <row r="56" spans="1:18" s="254" customFormat="1" ht="26.4" x14ac:dyDescent="0.25">
      <c r="A56" s="361"/>
      <c r="B56" s="348" t="s">
        <v>726</v>
      </c>
      <c r="C56" s="332" t="str">
        <f>VLOOKUP(B56,Notes!$E$66:$F$70,2,FALSE)</f>
        <v>R_Payments to Community Colleges</v>
      </c>
      <c r="D56" s="293"/>
      <c r="E56" s="292"/>
      <c r="F56" s="331">
        <f t="shared" si="4"/>
        <v>0</v>
      </c>
      <c r="G56" s="265" t="s">
        <v>308</v>
      </c>
      <c r="H56" s="333"/>
      <c r="J56" s="254">
        <f t="shared" si="27"/>
        <v>0</v>
      </c>
      <c r="K56" s="301" t="b">
        <f t="shared" si="28"/>
        <v>1</v>
      </c>
      <c r="L56" s="301" t="b">
        <f t="shared" si="28"/>
        <v>1</v>
      </c>
      <c r="M56" s="301"/>
      <c r="N56" s="297" t="b">
        <f t="shared" si="29"/>
        <v>0</v>
      </c>
      <c r="O56" s="298" t="b">
        <f t="shared" si="30"/>
        <v>1</v>
      </c>
      <c r="P56" s="302" t="b">
        <f t="shared" si="31"/>
        <v>0</v>
      </c>
      <c r="Q56" s="299" t="b">
        <f t="shared" si="32"/>
        <v>0</v>
      </c>
      <c r="R56" s="300" t="b">
        <f t="shared" si="33"/>
        <v>1</v>
      </c>
    </row>
    <row r="57" spans="1:18" s="254" customFormat="1" x14ac:dyDescent="0.25">
      <c r="A57" s="361"/>
      <c r="B57" s="348" t="s">
        <v>316</v>
      </c>
      <c r="C57" s="332" t="str">
        <f>VLOOKUP(B57,Notes!$E$66:$F$70,2,FALSE)</f>
        <v>OSC Use only</v>
      </c>
      <c r="D57" s="293"/>
      <c r="E57" s="292"/>
      <c r="F57" s="331">
        <f t="shared" si="4"/>
        <v>0</v>
      </c>
      <c r="G57" s="265" t="s">
        <v>308</v>
      </c>
      <c r="H57" s="333"/>
      <c r="J57" s="254">
        <f t="shared" si="27"/>
        <v>0</v>
      </c>
      <c r="K57" s="301" t="b">
        <f t="shared" si="28"/>
        <v>1</v>
      </c>
      <c r="L57" s="301" t="b">
        <f t="shared" si="28"/>
        <v>1</v>
      </c>
      <c r="M57" s="301"/>
      <c r="N57" s="297" t="b">
        <f t="shared" si="29"/>
        <v>0</v>
      </c>
      <c r="O57" s="298" t="b">
        <f t="shared" si="30"/>
        <v>0</v>
      </c>
      <c r="P57" s="302" t="b">
        <f t="shared" si="31"/>
        <v>0</v>
      </c>
      <c r="Q57" s="299" t="b">
        <f t="shared" si="32"/>
        <v>0</v>
      </c>
      <c r="R57" s="300" t="b">
        <f t="shared" si="33"/>
        <v>1</v>
      </c>
    </row>
    <row r="58" spans="1:18" s="254" customFormat="1" x14ac:dyDescent="0.25">
      <c r="A58" s="361"/>
      <c r="B58" s="348" t="s">
        <v>316</v>
      </c>
      <c r="C58" s="332" t="str">
        <f>VLOOKUP(B58,Notes!$E$66:$F$70,2,FALSE)</f>
        <v>OSC Use only</v>
      </c>
      <c r="D58" s="293"/>
      <c r="E58" s="292"/>
      <c r="F58" s="331">
        <f t="shared" si="4"/>
        <v>0</v>
      </c>
      <c r="G58" s="265" t="s">
        <v>308</v>
      </c>
      <c r="H58" s="333"/>
      <c r="J58" s="254">
        <f t="shared" si="27"/>
        <v>0</v>
      </c>
      <c r="K58" s="301" t="b">
        <f t="shared" si="28"/>
        <v>1</v>
      </c>
      <c r="L58" s="301" t="b">
        <f t="shared" si="28"/>
        <v>1</v>
      </c>
      <c r="M58" s="301"/>
      <c r="N58" s="297" t="b">
        <f t="shared" si="29"/>
        <v>0</v>
      </c>
      <c r="O58" s="298" t="b">
        <f t="shared" si="30"/>
        <v>0</v>
      </c>
      <c r="P58" s="302" t="b">
        <f t="shared" si="31"/>
        <v>0</v>
      </c>
      <c r="Q58" s="299" t="b">
        <f t="shared" si="32"/>
        <v>0</v>
      </c>
      <c r="R58" s="300" t="b">
        <f t="shared" si="33"/>
        <v>1</v>
      </c>
    </row>
    <row r="59" spans="1:18" s="254" customFormat="1" x14ac:dyDescent="0.25">
      <c r="A59" s="361"/>
      <c r="B59" s="348" t="s">
        <v>316</v>
      </c>
      <c r="C59" s="332" t="str">
        <f>VLOOKUP(B59,Notes!$E$66:$F$70,2,FALSE)</f>
        <v>OSC Use only</v>
      </c>
      <c r="D59" s="293"/>
      <c r="E59" s="292"/>
      <c r="F59" s="331">
        <f t="shared" si="4"/>
        <v>0</v>
      </c>
      <c r="G59" s="265" t="s">
        <v>308</v>
      </c>
      <c r="H59" s="333"/>
      <c r="J59" s="254">
        <f t="shared" si="27"/>
        <v>0</v>
      </c>
      <c r="K59" s="301" t="b">
        <f t="shared" si="28"/>
        <v>1</v>
      </c>
      <c r="L59" s="301" t="b">
        <f t="shared" si="28"/>
        <v>1</v>
      </c>
      <c r="M59" s="301"/>
      <c r="N59" s="297" t="b">
        <f t="shared" si="29"/>
        <v>0</v>
      </c>
      <c r="O59" s="298" t="b">
        <f t="shared" si="30"/>
        <v>0</v>
      </c>
      <c r="P59" s="302" t="b">
        <f t="shared" si="31"/>
        <v>0</v>
      </c>
      <c r="Q59" s="299" t="b">
        <f t="shared" si="32"/>
        <v>0</v>
      </c>
      <c r="R59" s="300" t="b">
        <f t="shared" si="33"/>
        <v>1</v>
      </c>
    </row>
    <row r="60" spans="1:18" s="254" customFormat="1" x14ac:dyDescent="0.25">
      <c r="A60" s="361"/>
      <c r="B60" s="348" t="s">
        <v>316</v>
      </c>
      <c r="C60" s="332" t="str">
        <f>VLOOKUP(B60,Notes!$E$66:$F$70,2,FALSE)</f>
        <v>OSC Use only</v>
      </c>
      <c r="D60" s="293"/>
      <c r="E60" s="292"/>
      <c r="F60" s="331">
        <f t="shared" si="4"/>
        <v>0</v>
      </c>
      <c r="G60" s="265" t="s">
        <v>308</v>
      </c>
      <c r="H60" s="333"/>
      <c r="J60" s="254">
        <f t="shared" si="27"/>
        <v>0</v>
      </c>
      <c r="K60" s="301" t="b">
        <f t="shared" si="28"/>
        <v>1</v>
      </c>
      <c r="L60" s="301" t="b">
        <f t="shared" si="28"/>
        <v>1</v>
      </c>
      <c r="M60" s="301"/>
      <c r="N60" s="297" t="b">
        <f t="shared" si="29"/>
        <v>0</v>
      </c>
      <c r="O60" s="298" t="b">
        <f t="shared" si="30"/>
        <v>0</v>
      </c>
      <c r="P60" s="302" t="b">
        <f t="shared" si="31"/>
        <v>0</v>
      </c>
      <c r="Q60" s="299" t="b">
        <f t="shared" si="32"/>
        <v>0</v>
      </c>
      <c r="R60" s="300" t="b">
        <f t="shared" si="33"/>
        <v>1</v>
      </c>
    </row>
    <row r="61" spans="1:18" s="254" customFormat="1" x14ac:dyDescent="0.25">
      <c r="A61" s="361"/>
      <c r="B61" s="348" t="s">
        <v>316</v>
      </c>
      <c r="C61" s="332" t="str">
        <f>VLOOKUP(B61,Notes!$E$66:$F$70,2,FALSE)</f>
        <v>OSC Use only</v>
      </c>
      <c r="D61" s="293"/>
      <c r="E61" s="292"/>
      <c r="F61" s="331">
        <f t="shared" si="4"/>
        <v>0</v>
      </c>
      <c r="G61" s="265" t="s">
        <v>308</v>
      </c>
      <c r="H61" s="333"/>
      <c r="J61" s="254">
        <f t="shared" si="27"/>
        <v>0</v>
      </c>
      <c r="K61" s="301" t="b">
        <f t="shared" si="28"/>
        <v>1</v>
      </c>
      <c r="L61" s="301" t="b">
        <f t="shared" si="28"/>
        <v>1</v>
      </c>
      <c r="M61" s="301"/>
      <c r="N61" s="297" t="b">
        <f t="shared" si="29"/>
        <v>0</v>
      </c>
      <c r="O61" s="298" t="b">
        <f t="shared" si="30"/>
        <v>0</v>
      </c>
      <c r="P61" s="302" t="b">
        <f t="shared" si="31"/>
        <v>0</v>
      </c>
      <c r="Q61" s="299" t="b">
        <f t="shared" si="32"/>
        <v>0</v>
      </c>
      <c r="R61" s="300" t="b">
        <f t="shared" si="33"/>
        <v>1</v>
      </c>
    </row>
    <row r="62" spans="1:18" x14ac:dyDescent="0.25">
      <c r="A62" s="258"/>
      <c r="B62" s="233" t="s">
        <v>325</v>
      </c>
      <c r="C62" s="259" t="s">
        <v>326</v>
      </c>
      <c r="D62" s="260"/>
      <c r="E62" s="233"/>
      <c r="F62" s="260"/>
      <c r="G62" s="249"/>
      <c r="H62" s="261"/>
      <c r="J62" s="254"/>
      <c r="K62" s="301"/>
      <c r="L62" s="301"/>
      <c r="M62" s="301"/>
      <c r="N62" s="297"/>
      <c r="O62" s="297"/>
      <c r="P62" s="302"/>
      <c r="Q62" s="302"/>
      <c r="R62" s="300"/>
    </row>
    <row r="63" spans="1:18" ht="13.8" thickBot="1" x14ac:dyDescent="0.3">
      <c r="A63" s="262" t="s">
        <v>327</v>
      </c>
      <c r="B63" s="263" t="s">
        <v>328</v>
      </c>
      <c r="C63" s="264" t="s">
        <v>328</v>
      </c>
      <c r="D63" s="290"/>
      <c r="E63" s="291"/>
      <c r="F63" s="330">
        <f>+D63+E63</f>
        <v>0</v>
      </c>
      <c r="G63" s="265" t="s">
        <v>308</v>
      </c>
      <c r="H63" s="266"/>
      <c r="J63" s="254">
        <f t="shared" ref="J63" si="34">COUNTIF(K63:L63,FALSE)</f>
        <v>0</v>
      </c>
      <c r="K63" s="254" t="b">
        <f>ISBLANK(D63)</f>
        <v>1</v>
      </c>
      <c r="L63" s="254" t="b">
        <f>ISBLANK(E63)</f>
        <v>1</v>
      </c>
      <c r="M63" s="301"/>
      <c r="N63" s="303" t="str">
        <f>IF(E63&lt;&gt;0,"FALSE","TRUE")</f>
        <v>TRUE</v>
      </c>
      <c r="O63" s="303" t="str">
        <f>IF(E63=0,"FALSE","TRUE")</f>
        <v>FALSE</v>
      </c>
      <c r="P63" s="304" t="b">
        <f>IF(E63&lt;&gt;0,IF(G63="Select Reason",NOT(ISBLANK(G63)),ISBLANK(G63)))</f>
        <v>0</v>
      </c>
      <c r="Q63" s="305" t="b">
        <f>IF(E63=0,IF(G63="Select Reason",ISBLANK(G63),NOT(ISBLANK(G63))))</f>
        <v>0</v>
      </c>
      <c r="R63" s="300" t="b">
        <f>IF(E63=0,ISBLANK(H63),NOT(ISBLANK(H63)))</f>
        <v>1</v>
      </c>
    </row>
    <row r="64" spans="1:18" ht="18" thickBot="1" x14ac:dyDescent="0.3">
      <c r="A64" s="258"/>
      <c r="B64" s="382" t="s">
        <v>330</v>
      </c>
      <c r="C64" s="382"/>
      <c r="D64" s="383"/>
      <c r="E64" s="255">
        <f>(SUM(E45:E52)+E63)-SUM(E54:E61)</f>
        <v>0</v>
      </c>
      <c r="F64" s="256" t="str">
        <f>IF(E64&lt;&gt;0,"Ensure Operating Statement Change Equals Balance Sheet Change.","")</f>
        <v/>
      </c>
      <c r="G64" s="267"/>
      <c r="H64" s="268"/>
      <c r="J64" s="254"/>
      <c r="K64" s="301"/>
      <c r="L64" s="301"/>
      <c r="M64" s="301"/>
      <c r="N64" s="306"/>
      <c r="O64" s="306"/>
      <c r="P64" s="302"/>
      <c r="Q64" s="302"/>
      <c r="R64" s="300"/>
    </row>
    <row r="65" spans="1:18" ht="16.2" thickBot="1" x14ac:dyDescent="0.3">
      <c r="B65" s="375" t="s">
        <v>721</v>
      </c>
      <c r="C65" s="376"/>
      <c r="D65" s="377"/>
      <c r="E65" s="237">
        <f>IF((E43-E64=0),F69,ABS(E43-E64))</f>
        <v>0</v>
      </c>
      <c r="F65" s="378"/>
      <c r="G65" s="379"/>
      <c r="H65" s="217"/>
      <c r="J65" s="254"/>
      <c r="K65" s="254"/>
      <c r="L65" s="254"/>
      <c r="M65" s="254"/>
      <c r="N65" s="297"/>
      <c r="O65" s="297"/>
      <c r="P65" s="299"/>
      <c r="Q65" s="299"/>
      <c r="R65" s="300"/>
    </row>
    <row r="66" spans="1:18" ht="84.6" customHeight="1" thickBot="1" x14ac:dyDescent="0.3">
      <c r="A66" s="251" t="s">
        <v>312</v>
      </c>
      <c r="B66" s="269" t="str">
        <f>IF(C17=0,"OK",IF(O67=0,"OK","Choose or Remove 'select an account'"))</f>
        <v>OK</v>
      </c>
      <c r="C66" s="270"/>
      <c r="D66" s="250" t="str">
        <f>IF(C17=0,"OK",IF(SUM(D19:D22)&lt;&gt;0,IF(L67=1,"ERROR - Check the beginning balance of row B, C, D, E or F","OK")))</f>
        <v>OK</v>
      </c>
      <c r="E66" s="271" t="str">
        <f>IF(C17=0,"OK",IF(E68="OK","OK", "ERROR - Check sign or amount at row B, C, D, E or F for Balance Sheet Change or Operating Statement Change"))</f>
        <v>OK</v>
      </c>
      <c r="F66" s="270"/>
      <c r="G66" s="271" t="str">
        <f>IF(Q67=0,"OK","Select a restatement reason at an appropriate line, or Remove a restatement reason at the incorrect line.")</f>
        <v>OK</v>
      </c>
      <c r="H66" s="272" t="str">
        <f>IF(R66=0,"OK","Provide or Remove explanation at column I")</f>
        <v>OK</v>
      </c>
      <c r="J66" s="307"/>
      <c r="K66" s="308">
        <f>COUNTIF(K19:K63,FALSE)</f>
        <v>0</v>
      </c>
      <c r="L66" s="308">
        <f>COUNTIF(L19:L63,FALSE)</f>
        <v>0</v>
      </c>
      <c r="M66" s="308"/>
      <c r="N66" s="309">
        <f t="shared" ref="N66:Q66" si="35">COUNTIF(N19:N63,TRUE)</f>
        <v>0</v>
      </c>
      <c r="O66" s="309">
        <f t="shared" si="35"/>
        <v>2</v>
      </c>
      <c r="P66" s="310">
        <f t="shared" si="35"/>
        <v>0</v>
      </c>
      <c r="Q66" s="310">
        <f t="shared" si="35"/>
        <v>0</v>
      </c>
      <c r="R66" s="311">
        <f>COUNTIF(R19:R63,FALSE)</f>
        <v>0</v>
      </c>
    </row>
    <row r="67" spans="1:18" ht="44.4" customHeight="1" thickBot="1" x14ac:dyDescent="0.3">
      <c r="A67" s="251" t="s">
        <v>312</v>
      </c>
      <c r="B67" s="273" t="s">
        <v>332</v>
      </c>
      <c r="C67" s="254"/>
      <c r="D67" s="254"/>
      <c r="E67" s="272" t="str">
        <f>IF(F69=C17,"OK","ERROR - check restatement amount.")</f>
        <v>OK</v>
      </c>
      <c r="F67" s="254"/>
      <c r="G67" s="254"/>
      <c r="H67" s="254"/>
      <c r="J67" s="254"/>
      <c r="K67" s="254"/>
      <c r="L67" s="254">
        <f>IF(L66-K66=0,0,1)</f>
        <v>0</v>
      </c>
      <c r="M67" s="254"/>
      <c r="N67" s="297"/>
      <c r="O67" s="297">
        <f>IF(O66-N66=0,0,1)</f>
        <v>1</v>
      </c>
      <c r="P67" s="299"/>
      <c r="Q67" s="299">
        <f>IF(Q66-P66=0,0,1)</f>
        <v>0</v>
      </c>
      <c r="R67" s="254"/>
    </row>
    <row r="68" spans="1:18" ht="15.6" hidden="1" x14ac:dyDescent="0.25">
      <c r="B68" s="238" t="s">
        <v>333</v>
      </c>
      <c r="C68" s="274"/>
      <c r="D68" s="274"/>
      <c r="E68" s="275" t="b">
        <f>IF(C17&lt;&gt;0,IF(C17=F69,"OK","ERROR"))</f>
        <v>0</v>
      </c>
      <c r="F68" s="276" t="s">
        <v>334</v>
      </c>
    </row>
    <row r="69" spans="1:18" ht="13.95" hidden="1" customHeight="1" x14ac:dyDescent="0.25">
      <c r="B69" s="277" t="s">
        <v>335</v>
      </c>
      <c r="C69" s="278"/>
      <c r="D69" s="254"/>
      <c r="E69" s="278" t="str">
        <f>IF(C17&lt;&gt;0,E43-E64,"ERROR")</f>
        <v>ERROR</v>
      </c>
      <c r="F69" s="278">
        <f>IF(E69=0,E64,0)</f>
        <v>0</v>
      </c>
    </row>
    <row r="70" spans="1:18" x14ac:dyDescent="0.25">
      <c r="B70" s="32"/>
      <c r="C70" s="171"/>
    </row>
    <row r="71" spans="1:18" x14ac:dyDescent="0.25">
      <c r="B71" s="32"/>
    </row>
  </sheetData>
  <sheetProtection algorithmName="SHA-512" hashValue="cfnOGKzS8WZqjMfQw216HCCZY3hdFt9W/gzi3l8IjVldGrYNTsdqSPvGiGIE7iSHzhgTTrXmNEBfzGWT3FQtDA==" saltValue="K5Us1TG1zRdHeamwoOBMUQ==" spinCount="100000" sheet="1" objects="1" scenarios="1"/>
  <mergeCells count="18">
    <mergeCell ref="B65:D65"/>
    <mergeCell ref="F65:G65"/>
    <mergeCell ref="C34:G34"/>
    <mergeCell ref="C44:G44"/>
    <mergeCell ref="C53:G53"/>
    <mergeCell ref="B43:D43"/>
    <mergeCell ref="B64:D64"/>
    <mergeCell ref="B5:G5"/>
    <mergeCell ref="A26:A33"/>
    <mergeCell ref="A35:A42"/>
    <mergeCell ref="A45:A52"/>
    <mergeCell ref="A54:A61"/>
    <mergeCell ref="B18:G18"/>
    <mergeCell ref="A19:A22"/>
    <mergeCell ref="B6:H6"/>
    <mergeCell ref="B9:H9"/>
    <mergeCell ref="H24:H25"/>
    <mergeCell ref="C25:G25"/>
  </mergeCells>
  <conditionalFormatting sqref="D19:E22">
    <cfRule type="cellIs" dxfId="57" priority="21" operator="notEqual">
      <formula>0</formula>
    </cfRule>
  </conditionalFormatting>
  <conditionalFormatting sqref="D26:E33">
    <cfRule type="cellIs" dxfId="56" priority="17" operator="notEqual">
      <formula>0</formula>
    </cfRule>
    <cfRule type="cellIs" dxfId="55" priority="18" operator="notEqual">
      <formula>0</formula>
    </cfRule>
    <cfRule type="cellIs" dxfId="54" priority="19" operator="notEqual">
      <formula>0</formula>
    </cfRule>
    <cfRule type="containsText" dxfId="53" priority="20" operator="containsText" text="&lt;&gt;&quot;&quot;">
      <formula>NOT(ISERROR(SEARCH("&lt;&gt;""""",D26)))</formula>
    </cfRule>
  </conditionalFormatting>
  <conditionalFormatting sqref="D35:E42">
    <cfRule type="cellIs" dxfId="52" priority="13" operator="notEqual">
      <formula>0</formula>
    </cfRule>
    <cfRule type="cellIs" dxfId="51" priority="14" operator="notEqual">
      <formula>0</formula>
    </cfRule>
    <cfRule type="cellIs" dxfId="50" priority="15" operator="notEqual">
      <formula>0</formula>
    </cfRule>
    <cfRule type="containsText" dxfId="49" priority="16" operator="containsText" text="&lt;&gt;&quot;&quot;">
      <formula>NOT(ISERROR(SEARCH("&lt;&gt;""""",D35)))</formula>
    </cfRule>
  </conditionalFormatting>
  <conditionalFormatting sqref="D45:E52">
    <cfRule type="cellIs" dxfId="48" priority="9" operator="notEqual">
      <formula>0</formula>
    </cfRule>
    <cfRule type="cellIs" dxfId="47" priority="10" operator="notEqual">
      <formula>0</formula>
    </cfRule>
    <cfRule type="cellIs" dxfId="46" priority="11" operator="notEqual">
      <formula>0</formula>
    </cfRule>
    <cfRule type="containsText" dxfId="45" priority="12" operator="containsText" text="&lt;&gt;&quot;&quot;">
      <formula>NOT(ISERROR(SEARCH("&lt;&gt;""""",D45)))</formula>
    </cfRule>
  </conditionalFormatting>
  <conditionalFormatting sqref="D54:E61">
    <cfRule type="cellIs" dxfId="44" priority="5" operator="notEqual">
      <formula>0</formula>
    </cfRule>
    <cfRule type="cellIs" dxfId="43" priority="6" operator="notEqual">
      <formula>0</formula>
    </cfRule>
    <cfRule type="cellIs" dxfId="42" priority="7" operator="notEqual">
      <formula>0</formula>
    </cfRule>
    <cfRule type="containsText" dxfId="41" priority="8" operator="containsText" text="&lt;&gt;&quot;&quot;">
      <formula>NOT(ISERROR(SEARCH("&lt;&gt;""""",D54)))</formula>
    </cfRule>
  </conditionalFormatting>
  <conditionalFormatting sqref="D63:E63">
    <cfRule type="cellIs" dxfId="40" priority="1" operator="notEqual">
      <formula>0</formula>
    </cfRule>
    <cfRule type="cellIs" dxfId="39" priority="2" operator="notEqual">
      <formula>0</formula>
    </cfRule>
    <cfRule type="cellIs" dxfId="38" priority="3" operator="notEqual">
      <formula>0</formula>
    </cfRule>
    <cfRule type="containsText" dxfId="37" priority="4" operator="containsText" text="&lt;&gt;&quot;&quot;">
      <formula>NOT(ISERROR(SEARCH("&lt;&gt;""""",D63)))</formula>
    </cfRule>
  </conditionalFormatting>
  <conditionalFormatting sqref="E43 G43:H43">
    <cfRule type="cellIs" dxfId="36" priority="28" operator="notEqual">
      <formula>0</formula>
    </cfRule>
    <cfRule type="cellIs" dxfId="35" priority="29" operator="notEqual">
      <formula>0</formula>
    </cfRule>
    <cfRule type="cellIs" dxfId="34" priority="30" operator="notEqual">
      <formula>0</formula>
    </cfRule>
    <cfRule type="containsText" dxfId="33" priority="31" operator="containsText" text="&lt;&gt;&quot;&quot;">
      <formula>NOT(ISERROR(SEARCH("&lt;&gt;""""",E43)))</formula>
    </cfRule>
  </conditionalFormatting>
  <conditionalFormatting sqref="E64 G64:H64">
    <cfRule type="cellIs" dxfId="32" priority="24" operator="notEqual">
      <formula>0</formula>
    </cfRule>
    <cfRule type="cellIs" dxfId="31" priority="25" operator="notEqual">
      <formula>0</formula>
    </cfRule>
    <cfRule type="cellIs" dxfId="30" priority="26" operator="notEqual">
      <formula>0</formula>
    </cfRule>
    <cfRule type="containsText" dxfId="29" priority="27" operator="containsText" text="&lt;&gt;&quot;&quot;">
      <formula>NOT(ISERROR(SEARCH("&lt;&gt;""""",E64)))</formula>
    </cfRule>
  </conditionalFormatting>
  <dataValidations count="4">
    <dataValidation allowBlank="1" showInputMessage="1" showErrorMessage="1" prompt="No Restatement - leave blank_x000a_Restatement - enter beginning balance or $0 if data is not available." sqref="D63 D26:D33 D35:D42 D45:D52 D54:D61" xr:uid="{08F554CC-F46D-4C6C-88EF-5BD96FC9C42C}"/>
    <dataValidation allowBlank="1" showInputMessage="1" showErrorMessage="1" prompt="Also complete Asset/Liabilties (row B/C) and Revenue/Expenses/Restatements (row D/E/F)." sqref="E19:E22" xr:uid="{24575E3A-5F1C-4BCB-BC69-B002C79B5320}"/>
    <dataValidation allowBlank="1" showInputMessage="1" showErrorMessage="1" prompt="No Restatement - leave blank_x000a_Restatement - enter beginning balance " sqref="D21 D19" xr:uid="{4366C90C-9E01-4BF0-8842-04A5F55C2526}"/>
    <dataValidation allowBlank="1" showInputMessage="1" showErrorMessage="1" prompt="No Restatement - leave blank_x000a_Restatement - enter beginning balance" sqref="D20 D22" xr:uid="{01360AAF-75C4-4907-AAF7-2801E86DFC7A}"/>
  </dataValidations>
  <hyperlinks>
    <hyperlink ref="F13" r:id="rId1" xr:uid="{6E5BB2FE-3B03-4E9C-8D85-059300189F35}"/>
  </hyperlinks>
  <pageMargins left="0.7" right="0.7" top="0.75" bottom="0.75" header="0.3" footer="0.3"/>
  <pageSetup scale="51" orientation="landscape" r:id="rId2"/>
  <ignoredErrors>
    <ignoredError sqref="F19:F20 F26:F28 F35:F37 F45:F47 F54:F56 F29:F33 F38:F42 F48:F52 F57:F61 F22" unlockedFormula="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16357E7-016A-4557-8061-B1EF1ED75A13}">
          <x14:formula1>
            <xm:f>Notes!$E$3:$E$24</xm:f>
          </x14:formula1>
          <xm:sqref>B26:B33</xm:sqref>
        </x14:dataValidation>
        <x14:dataValidation type="list" allowBlank="1" showInputMessage="1" showErrorMessage="1" xr:uid="{AC008354-2974-4F30-BA84-4EEF4EA31DA2}">
          <x14:formula1>
            <xm:f>Notes!$E$52:$E$63</xm:f>
          </x14:formula1>
          <xm:sqref>B45:B52</xm:sqref>
        </x14:dataValidation>
        <x14:dataValidation type="list" allowBlank="1" showInputMessage="1" showErrorMessage="1" xr:uid="{F50CC8F8-C32B-4A6C-A38C-5B77DF0DA1E3}">
          <x14:formula1>
            <xm:f>Notes!$E$66:$E$70</xm:f>
          </x14:formula1>
          <xm:sqref>B54:B61</xm:sqref>
        </x14:dataValidation>
        <x14:dataValidation type="list" allowBlank="1" showInputMessage="1" showErrorMessage="1" xr:uid="{719C574A-5EEC-4DB0-8CE7-359AD9CD54AC}">
          <x14:formula1>
            <xm:f>Notes!$E$27:$E$49</xm:f>
          </x14:formula1>
          <xm:sqref>B35:B42</xm:sqref>
        </x14:dataValidation>
        <x14:dataValidation type="list" allowBlank="1" showInputMessage="1" showErrorMessage="1" prompt="ER = Error Correction (e.g. audit adjustment or prior year group asset adjustment)_x000a_O = Change in accounting principal " xr:uid="{3CA6FAF0-BCC3-4339-AD04-B2411FB69214}">
          <x14:formula1>
            <xm:f>Notes!$D$78:$D$90</xm:f>
          </x14:formula1>
          <xm:sqref>G19:G22 G26:G33 G35:G42 G45:G52 G54:G61 G63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AD092CE268B4A9CFCAE20B18605CD" ma:contentTypeVersion="13" ma:contentTypeDescription="Create a new document." ma:contentTypeScope="" ma:versionID="816be3f1d84d830574610c903672ebdf">
  <xsd:schema xmlns:xsd="http://www.w3.org/2001/XMLSchema" xmlns:xs="http://www.w3.org/2001/XMLSchema" xmlns:p="http://schemas.microsoft.com/office/2006/metadata/properties" xmlns:ns2="3ec2570d-002d-43d9-b4d8-cd927734fd5c" xmlns:ns3="f1a921d8-526c-43e3-8a93-f9bf9ad79650" targetNamespace="http://schemas.microsoft.com/office/2006/metadata/properties" ma:root="true" ma:fieldsID="9dcbd1f1d7f7020188508df2d0d28f0b" ns2:_="" ns3:_="">
    <xsd:import namespace="3ec2570d-002d-43d9-b4d8-cd927734fd5c"/>
    <xsd:import namespace="f1a921d8-526c-43e3-8a93-f9bf9ad796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c2570d-002d-43d9-b4d8-cd927734fd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a921d8-526c-43e3-8a93-f9bf9ad796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7866d6-2ba6-4cf9-bf73-e51f30d4693c}" ma:internalName="TaxCatchAll" ma:showField="CatchAllData" ma:web="f1a921d8-526c-43e3-8a93-f9bf9ad796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1a921d8-526c-43e3-8a93-f9bf9ad79650" xsi:nil="true"/>
    <lcf76f155ced4ddcb4097134ff3c332f xmlns="3ec2570d-002d-43d9-b4d8-cd927734fd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E39B49-3E91-4221-A43D-4F2B5F06FE5F}">
  <ds:schemaRefs>
    <ds:schemaRef ds:uri="http://schemas.microsoft.com/sharepoint/v3/contenttype/forms"/>
  </ds:schemaRefs>
</ds:datastoreItem>
</file>

<file path=customXml/itemProps2.xml><?xml version="1.0" encoding="utf-8"?>
<ds:datastoreItem xmlns:ds="http://schemas.openxmlformats.org/officeDocument/2006/customXml" ds:itemID="{0E7E5868-97E2-4777-990E-174084AB4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c2570d-002d-43d9-b4d8-cd927734fd5c"/>
    <ds:schemaRef ds:uri="f1a921d8-526c-43e3-8a93-f9bf9ad7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2962BF-E920-4D89-9032-98E8415A9B1F}">
  <ds:schemaRefs>
    <ds:schemaRef ds:uri="http://schemas.microsoft.com/office/2006/metadata/properties"/>
    <ds:schemaRef ds:uri="http://schemas.microsoft.com/office/2006/documentManagement/types"/>
    <ds:schemaRef ds:uri="68085a6d-e278-4216-b84f-15e1ffeaa6bf"/>
    <ds:schemaRef ds:uri="http://schemas.openxmlformats.org/package/2006/metadata/core-properties"/>
    <ds:schemaRef ds:uri="http://purl.org/dc/dcmitype/"/>
    <ds:schemaRef ds:uri="http://purl.org/dc/terms/"/>
    <ds:schemaRef ds:uri="http://schemas.microsoft.com/office/infopath/2007/PartnerControls"/>
    <ds:schemaRef ds:uri="http://www.w3.org/XML/1998/namespace"/>
    <ds:schemaRef ds:uri="http://purl.org/dc/elements/1.1/"/>
    <ds:schemaRef ds:uri="f1a921d8-526c-43e3-8a93-f9bf9ad79650"/>
    <ds:schemaRef ds:uri="3ec2570d-002d-43d9-b4d8-cd927734fd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 Use Stmt</vt:lpstr>
      <vt:lpstr>Info</vt:lpstr>
      <vt:lpstr>Package Updates</vt:lpstr>
      <vt:lpstr>Exh A</vt:lpstr>
      <vt:lpstr>Exh B</vt:lpstr>
      <vt:lpstr>Adjustments</vt:lpstr>
      <vt:lpstr>Exh D</vt:lpstr>
      <vt:lpstr>Exh E</vt:lpstr>
      <vt:lpstr>Restatements</vt:lpstr>
      <vt:lpstr>Restatement GASB 101 example</vt:lpstr>
      <vt:lpstr>Comments</vt:lpstr>
      <vt:lpstr>Net Assets</vt:lpstr>
      <vt:lpstr>PriorYrExhD</vt:lpstr>
      <vt:lpstr>PriorYrExhE</vt:lpstr>
      <vt:lpstr>Notes</vt:lpstr>
      <vt:lpstr>EquityData</vt:lpstr>
      <vt:lpstr>EquityDataRow</vt:lpstr>
      <vt:lpstr>ExhDData</vt:lpstr>
      <vt:lpstr>ExhEData</vt:lpstr>
      <vt:lpstr>FASB_ADJ</vt:lpstr>
      <vt:lpstr>FASB_BS</vt:lpstr>
      <vt:lpstr>FASB_IS</vt:lpstr>
      <vt:lpstr>Number</vt:lpstr>
      <vt:lpstr>Adjustments!Print_Area</vt:lpstr>
      <vt:lpstr>'Exh A'!Print_Area</vt:lpstr>
      <vt:lpstr>'Exh B'!Print_Area</vt:lpstr>
      <vt:lpstr>'Exh D'!Print_Area</vt:lpstr>
      <vt:lpstr>'Package Updates'!Print_Area</vt:lpstr>
      <vt:lpstr>PriorYrExhD!Print_Area</vt:lpstr>
      <vt:lpstr>Restatements!Print_Area</vt:lpstr>
      <vt:lpstr>Adjustments!Print_Titles</vt:lpstr>
      <vt:lpstr>'Exh A'!Print_Titles</vt:lpstr>
      <vt:lpstr>PriorYrExhD!Print_Titles</vt:lpstr>
      <vt:lpstr>PriorYrExhE!Print_Titles</vt:lpstr>
    </vt:vector>
  </TitlesOfParts>
  <Manager/>
  <Company>State of North Carolina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cmurphy</dc:creator>
  <cp:keywords/>
  <dc:description/>
  <cp:lastModifiedBy>John Krellner</cp:lastModifiedBy>
  <cp:revision/>
  <dcterms:created xsi:type="dcterms:W3CDTF">2003-04-21T14:28:15Z</dcterms:created>
  <dcterms:modified xsi:type="dcterms:W3CDTF">2025-08-14T13:42:45Z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0x01010028DAD092CE268B4A9CFCAE20B18605CD</vt:lpwstr>
  </property>
  <property fmtid="{D5CDD505-2E9C-101B-9397-08002B2CF9AE}" pid="5" name="_ExtendedDescription">
    <vt:lpwstr/>
  </property>
  <property fmtid="{D5CDD505-2E9C-101B-9397-08002B2CF9AE}" pid="6" name="MSIP_Label_defa4170-0d19-0005-0004-bc88714345d2_Enabled">
    <vt:lpwstr>true</vt:lpwstr>
  </property>
  <property fmtid="{D5CDD505-2E9C-101B-9397-08002B2CF9AE}" pid="7" name="MSIP_Label_defa4170-0d19-0005-0004-bc88714345d2_SetDate">
    <vt:lpwstr>2024-04-17T15:42:56Z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a1f43f48-54fe-433f-9378-968b45bc6665</vt:lpwstr>
  </property>
  <property fmtid="{D5CDD505-2E9C-101B-9397-08002B2CF9AE}" pid="11" name="MSIP_Label_defa4170-0d19-0005-0004-bc88714345d2_ActionId">
    <vt:lpwstr>ba9c0694-36f7-4ebb-96c3-e71f1af50847</vt:lpwstr>
  </property>
  <property fmtid="{D5CDD505-2E9C-101B-9397-08002B2CF9AE}" pid="12" name="MSIP_Label_defa4170-0d19-0005-0004-bc88714345d2_ContentBits">
    <vt:lpwstr>0</vt:lpwstr>
  </property>
  <property fmtid="{D5CDD505-2E9C-101B-9397-08002B2CF9AE}" pid="13" name="MediaServiceImageTags">
    <vt:lpwstr/>
  </property>
</Properties>
</file>