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ncosc-my.sharepoint.com/personal/brian_reinhardt_ncosc_gov/Documents/Desktop/"/>
    </mc:Choice>
  </mc:AlternateContent>
  <xr:revisionPtr revIDLastSave="0" documentId="8_{92DEFCAE-5BCE-469F-88BD-93DE3CED1C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se Stmt" sheetId="10" r:id="rId1"/>
    <sheet name="Steps" sheetId="7" r:id="rId2"/>
    <sheet name="Workbook Updates" sheetId="11" r:id="rId3"/>
    <sheet name="Exh A" sheetId="1" r:id="rId4"/>
    <sheet name="Exh B" sheetId="2" r:id="rId5"/>
    <sheet name="Exh C" sheetId="3" r:id="rId6"/>
    <sheet name="Exh D" sheetId="5" r:id="rId7"/>
    <sheet name="Exh E" sheetId="8" r:id="rId8"/>
    <sheet name="Exh F" sheetId="9" r:id="rId9"/>
    <sheet name="Exh G" sheetId="4" r:id="rId10"/>
  </sheets>
  <definedNames>
    <definedName name="_xlnm._FilterDatabase" localSheetId="4" hidden="1">'Exh B'!$E$31:$F$41</definedName>
    <definedName name="A_1">'Exh A'!$I$12</definedName>
    <definedName name="A_2">'Exh A'!$I$20</definedName>
    <definedName name="A_3">'Exh A'!$I$21</definedName>
    <definedName name="A_4">'Exh A'!$I$55</definedName>
    <definedName name="A_5">'Exh A'!$I$56</definedName>
    <definedName name="A_6">'Exh A'!$I$64</definedName>
    <definedName name="A_7">'Exh A'!$I$83</definedName>
    <definedName name="A_8">'Exh A'!$I$84</definedName>
    <definedName name="B_1">'Exh B'!$E$11</definedName>
    <definedName name="B_10">'Exh B'!$E$25</definedName>
    <definedName name="B_11">'Exh B'!$E$26</definedName>
    <definedName name="B_12">'Exh B'!$E$31</definedName>
    <definedName name="B_13">'Exh B'!$E$33</definedName>
    <definedName name="B_14">'Exh B'!$E$38</definedName>
    <definedName name="B_15">'Exh B'!$E$39</definedName>
    <definedName name="B_16">'Exh B'!$E$41</definedName>
    <definedName name="B_17">'Exh B'!$E$46</definedName>
    <definedName name="B_18">'Exh B'!$E$47</definedName>
    <definedName name="B_19">'Exh B'!$E$49</definedName>
    <definedName name="B_2">'Exh B'!$E$12</definedName>
    <definedName name="B_20">'Exh B'!$E$50</definedName>
    <definedName name="B_21">'Exh B'!$E$51</definedName>
    <definedName name="B_22">'Exh B'!$E$36</definedName>
    <definedName name="B_23">'Exh B'!$E$32</definedName>
    <definedName name="B_24">'Exh B'!$E$34</definedName>
    <definedName name="B_25">'Exh B'!$E$35</definedName>
    <definedName name="B_26">'Exh B'!$E$37</definedName>
    <definedName name="B_27">'Exh B'!$E$48</definedName>
    <definedName name="B_28">'Exh B'!$E$16</definedName>
    <definedName name="B_3">'Exh B'!$E$13</definedName>
    <definedName name="B_31">'Exh B'!$E$42</definedName>
    <definedName name="B_4">'Exh B'!$E$14</definedName>
    <definedName name="B_5">'Exh B'!$E$15</definedName>
    <definedName name="B_6">'Exh B'!$E$21</definedName>
    <definedName name="B_7">'Exh B'!$E$22</definedName>
    <definedName name="B_8">'Exh B'!$E$23</definedName>
    <definedName name="B_9">'Exh B'!$E$24</definedName>
    <definedName name="C_1">'Exh C'!$F$56</definedName>
    <definedName name="C_10">'Exh C'!$F$59</definedName>
    <definedName name="C_11">'Exh C'!$F$60</definedName>
    <definedName name="C_2">'Exh C'!$F$57</definedName>
    <definedName name="C_3">'Exh C'!$F$61</definedName>
    <definedName name="C_4">'Exh C'!$F$63</definedName>
    <definedName name="C_5">'Exh C'!$F$64</definedName>
    <definedName name="C_6">'Exh C'!$F$71</definedName>
    <definedName name="C_7">'Exh C'!$F$89</definedName>
    <definedName name="C_8">'Exh C'!$F$78</definedName>
    <definedName name="C_9">'Exh C'!$F$58</definedName>
    <definedName name="D_1">'Exh D'!$F$22</definedName>
    <definedName name="D_10">'Exh D'!$J$12</definedName>
    <definedName name="D_12">'Exh D'!$H$28</definedName>
    <definedName name="D_13">'Exh D'!$P$28</definedName>
    <definedName name="D_14">'Exh D'!$H$29</definedName>
    <definedName name="D_15">'Exh D'!$P$29</definedName>
    <definedName name="D_2">'Exh D'!$J$8</definedName>
    <definedName name="D_2A">'Exh D'!$J$9</definedName>
    <definedName name="D_2B">'Exh D'!$J$10</definedName>
    <definedName name="D_3">'Exh D'!$H$11</definedName>
    <definedName name="D_4">'Exh D'!$J$11</definedName>
    <definedName name="D_5">'Exh D'!$P$17</definedName>
    <definedName name="D_6">'Exh D'!$F$23</definedName>
    <definedName name="D_7">'Exh D'!$P$13</definedName>
    <definedName name="D_8">'Exh D'!$P$16</definedName>
    <definedName name="D_9">'Exh D'!$H$12</definedName>
    <definedName name="E_1">'Exh E'!$H$8</definedName>
    <definedName name="E_10">'Exh E'!$H$18</definedName>
    <definedName name="E_11">'Exh E'!$H$19</definedName>
    <definedName name="E_12">'Exh E'!$H$20</definedName>
    <definedName name="E_13">'Exh E'!$H$21</definedName>
    <definedName name="E_14">'Exh E'!$H$22</definedName>
    <definedName name="E_15">'Exh E'!$H$23</definedName>
    <definedName name="E_16">'Exh E'!$H$28</definedName>
    <definedName name="E_17">'Exh E'!$H$29</definedName>
    <definedName name="E_18">'Exh E'!$H$30</definedName>
    <definedName name="E_19">'Exh E'!$H$35</definedName>
    <definedName name="E_2">'Exh E'!$H$9</definedName>
    <definedName name="E_20">'Exh E'!$H$36</definedName>
    <definedName name="E_20a">'Exh E'!$H$41</definedName>
    <definedName name="E_20b">'Exh E'!$H$42</definedName>
    <definedName name="E_21">'Exh E'!$H$47</definedName>
    <definedName name="E_22">'Exh E'!$H$48</definedName>
    <definedName name="E_23">'Exh E'!$H$49</definedName>
    <definedName name="E_24">'Exh E'!$H$50</definedName>
    <definedName name="E_25">'Exh E'!$H$51</definedName>
    <definedName name="E_26">'Exh E'!$H$52</definedName>
    <definedName name="E_27">'Exh E'!$H$53</definedName>
    <definedName name="E_28">'Exh E'!$H$54</definedName>
    <definedName name="E_29">'Exh E'!$H$55</definedName>
    <definedName name="E_3">'Exh E'!$H$10</definedName>
    <definedName name="E_30">'Exh E'!$H$60</definedName>
    <definedName name="E_31">'Exh E'!$H$61</definedName>
    <definedName name="E_32">'Exh E'!$H$62</definedName>
    <definedName name="E_33">'Exh E'!$H$63</definedName>
    <definedName name="E_34">'Exh E'!$H$64</definedName>
    <definedName name="E_35">'Exh E'!$H$65</definedName>
    <definedName name="E_36">'Exh E'!$D$159</definedName>
    <definedName name="E_37">'Exh E'!$D$71</definedName>
    <definedName name="E_38">'Exh E'!$D$72</definedName>
    <definedName name="E_39">'Exh E'!$D$73</definedName>
    <definedName name="E_4">'Exh E'!$H$11</definedName>
    <definedName name="E_40">'Exh E'!$D$74</definedName>
    <definedName name="E_41">'Exh E'!$D$80</definedName>
    <definedName name="E_42">'Exh E'!$D$83</definedName>
    <definedName name="E_43">'Exh E'!$D$84</definedName>
    <definedName name="E_44">'Exh E'!$D$89</definedName>
    <definedName name="E_45">'Exh E'!$D$90</definedName>
    <definedName name="E_46">'Exh E'!$D$95</definedName>
    <definedName name="E_47">'Exh E'!$D$97</definedName>
    <definedName name="E_48">'Exh E'!$D$98</definedName>
    <definedName name="E_49">'Exh E'!$D$112</definedName>
    <definedName name="E_5">'Exh E'!$H$12</definedName>
    <definedName name="E_50">'Exh E'!$D$113</definedName>
    <definedName name="E_51">'Exh E'!$D$114</definedName>
    <definedName name="E_52">'Exh E'!$D$115</definedName>
    <definedName name="E_53">'Exh E'!$D$165</definedName>
    <definedName name="E_54">'Exh E'!$D$166</definedName>
    <definedName name="E_55">'Exh E'!#REF!</definedName>
    <definedName name="E_56">'Exh E'!$D$173</definedName>
    <definedName name="E_57">'Exh E'!$D$174</definedName>
    <definedName name="E_58">'Exh E'!$H$15</definedName>
    <definedName name="E_59">'Exh E'!$D$110</definedName>
    <definedName name="E_6">'Exh E'!$H$13</definedName>
    <definedName name="E_60">'Exh E'!$D$111</definedName>
    <definedName name="E_61">'Exh E'!$D$157</definedName>
    <definedName name="E_62">'Exh E'!$D$158</definedName>
    <definedName name="E_63">'Exh E'!$D$120</definedName>
    <definedName name="E_64">'Exh E'!$D$145</definedName>
    <definedName name="E_65">'Exh E'!$D$146</definedName>
    <definedName name="E_66">'Exh E'!$D$147</definedName>
    <definedName name="E_67">'Exh E'!$D$125</definedName>
    <definedName name="E_68">'Exh E'!$D$151</definedName>
    <definedName name="E_69">'Exh E'!$D$152</definedName>
    <definedName name="E_7">'Exh E'!$H$14</definedName>
    <definedName name="E_70">'Exh E'!$D$153</definedName>
    <definedName name="E_71">'Exh E'!$H$66</definedName>
    <definedName name="E_72">'Exh E'!$D$154</definedName>
    <definedName name="E_79">'Exh E'!$D$105</definedName>
    <definedName name="E_8">'Exh E'!$H$16</definedName>
    <definedName name="E_80">'Exh E'!$D$131</definedName>
    <definedName name="E_83">'Exh E'!$D$132</definedName>
    <definedName name="E_84">'Exh E'!$D$104</definedName>
    <definedName name="E_9">'Exh E'!$H$17</definedName>
    <definedName name="E_91">'Exh E'!$D$138</definedName>
    <definedName name="E_92">'Exh E'!$D$139</definedName>
    <definedName name="_xlnm.Print_Area" localSheetId="3">'Exh A'!$A$1:$I$180</definedName>
    <definedName name="_xlnm.Print_Area" localSheetId="4">'Exh B'!$A$1:$F$107</definedName>
    <definedName name="_xlnm.Print_Area" localSheetId="5">'Exh C'!$A$1:$N$105</definedName>
    <definedName name="_xlnm.Print_Area" localSheetId="8">'Exh F'!$A$1:$K$191</definedName>
    <definedName name="_xlnm.Print_Area" localSheetId="9">'Exh G'!$A$1:$E$253</definedName>
    <definedName name="_xlnm.Print_Titles" localSheetId="7">'Exh E'!$1:$6</definedName>
    <definedName name="_xlnm.Print_Titles" localSheetId="8">'Exh F'!$1:$6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" i="4" l="1"/>
  <c r="P28" i="5"/>
  <c r="P30" i="5" s="1"/>
  <c r="H28" i="5"/>
  <c r="H30" i="5" s="1"/>
  <c r="E141" i="9"/>
  <c r="G138" i="9" l="1" a="1"/>
  <c r="G138" i="9" s="1"/>
  <c r="G137" i="9" a="1"/>
  <c r="G137" i="9" s="1"/>
  <c r="D135" i="8" l="1"/>
  <c r="D136" i="8" s="1" a="1"/>
  <c r="D136" i="8" s="1"/>
  <c r="E76" i="4"/>
  <c r="E145" i="9"/>
  <c r="K145" i="9" s="1"/>
  <c r="E45" i="4" s="1"/>
  <c r="G61" i="9"/>
  <c r="I84" i="1"/>
  <c r="I38" i="1"/>
  <c r="I24" i="1"/>
  <c r="E215" i="4" s="1"/>
  <c r="E199" i="4"/>
  <c r="E198" i="4"/>
  <c r="G132" i="9"/>
  <c r="J53" i="5"/>
  <c r="J51" i="5"/>
  <c r="D18" i="5"/>
  <c r="J44" i="5" s="1"/>
  <c r="L12" i="5"/>
  <c r="P12" i="5"/>
  <c r="L45" i="3"/>
  <c r="J45" i="3"/>
  <c r="H45" i="3"/>
  <c r="F45" i="3"/>
  <c r="N44" i="3"/>
  <c r="N29" i="3"/>
  <c r="H31" i="3"/>
  <c r="F31" i="3"/>
  <c r="N30" i="3"/>
  <c r="N28" i="3"/>
  <c r="N27" i="3"/>
  <c r="N26" i="3"/>
  <c r="N24" i="3"/>
  <c r="E140" i="9"/>
  <c r="E14" i="9"/>
  <c r="D103" i="8"/>
  <c r="D106" i="8" s="1"/>
  <c r="D107" i="8" s="1"/>
  <c r="E114" i="4"/>
  <c r="E78" i="4"/>
  <c r="I50" i="1"/>
  <c r="I47" i="1"/>
  <c r="E88" i="4"/>
  <c r="E214" i="4"/>
  <c r="E75" i="4"/>
  <c r="E143" i="9"/>
  <c r="E142" i="9"/>
  <c r="G131" i="9"/>
  <c r="D141" i="8"/>
  <c r="D142" i="8" s="1"/>
  <c r="N43" i="3"/>
  <c r="N42" i="3"/>
  <c r="N41" i="3"/>
  <c r="N40" i="3"/>
  <c r="L31" i="3"/>
  <c r="L46" i="3"/>
  <c r="J31" i="3"/>
  <c r="J46" i="3" s="1"/>
  <c r="I36" i="1"/>
  <c r="I23" i="1"/>
  <c r="I22" i="1"/>
  <c r="I83" i="1"/>
  <c r="I37" i="1"/>
  <c r="D155" i="8"/>
  <c r="E76" i="9"/>
  <c r="G75" i="9"/>
  <c r="G76" i="9" s="1"/>
  <c r="E94" i="4"/>
  <c r="H66" i="8"/>
  <c r="E74" i="9" s="1"/>
  <c r="F67" i="8"/>
  <c r="F68" i="8" s="1"/>
  <c r="D67" i="8"/>
  <c r="D68" i="8" s="1"/>
  <c r="E66" i="1"/>
  <c r="E105" i="9"/>
  <c r="K105" i="9" s="1"/>
  <c r="E73" i="9"/>
  <c r="E70" i="9"/>
  <c r="E68" i="9"/>
  <c r="K68" i="9"/>
  <c r="E24" i="4"/>
  <c r="G136" i="9"/>
  <c r="P9" i="5"/>
  <c r="P10" i="5"/>
  <c r="L9" i="5"/>
  <c r="L10" i="5"/>
  <c r="L16" i="5"/>
  <c r="P16" i="5"/>
  <c r="E98" i="4"/>
  <c r="I39" i="1"/>
  <c r="I25" i="1"/>
  <c r="I80" i="1"/>
  <c r="E100" i="4"/>
  <c r="I40" i="1"/>
  <c r="I26" i="1"/>
  <c r="G17" i="9"/>
  <c r="E35" i="9"/>
  <c r="E26" i="9"/>
  <c r="P15" i="5"/>
  <c r="E96" i="4"/>
  <c r="L15" i="5"/>
  <c r="G28" i="9"/>
  <c r="D127" i="8"/>
  <c r="D128" i="8" s="1"/>
  <c r="I82" i="1"/>
  <c r="E101" i="4"/>
  <c r="I49" i="1"/>
  <c r="E89" i="4"/>
  <c r="I54" i="1"/>
  <c r="E34" i="9"/>
  <c r="G16" i="9"/>
  <c r="E25" i="9"/>
  <c r="D148" i="8"/>
  <c r="G27" i="9"/>
  <c r="I99" i="1"/>
  <c r="I93" i="1"/>
  <c r="D122" i="8"/>
  <c r="D123" i="8" s="1"/>
  <c r="P14" i="5"/>
  <c r="E97" i="4"/>
  <c r="L14" i="5"/>
  <c r="I81" i="1"/>
  <c r="E102" i="4"/>
  <c r="I48" i="1"/>
  <c r="E87" i="4"/>
  <c r="E204" i="4"/>
  <c r="E224" i="4"/>
  <c r="E223" i="4"/>
  <c r="E222" i="4"/>
  <c r="E205" i="4"/>
  <c r="E117" i="9"/>
  <c r="F77" i="3"/>
  <c r="F79" i="3"/>
  <c r="F80" i="3"/>
  <c r="N13" i="3"/>
  <c r="G58" i="9"/>
  <c r="E58" i="9"/>
  <c r="G62" i="9"/>
  <c r="E62" i="9"/>
  <c r="D160" i="8"/>
  <c r="D161" i="8" s="1"/>
  <c r="G56" i="9"/>
  <c r="K56" i="9" s="1"/>
  <c r="E18" i="4" s="1"/>
  <c r="E55" i="9"/>
  <c r="K55" i="9" s="1"/>
  <c r="E17" i="4" s="1"/>
  <c r="F94" i="3"/>
  <c r="D116" i="8"/>
  <c r="D117" i="8" s="1"/>
  <c r="E126" i="9"/>
  <c r="E111" i="4"/>
  <c r="F93" i="3"/>
  <c r="E103" i="9"/>
  <c r="H15" i="8"/>
  <c r="E104" i="9" s="1"/>
  <c r="N38" i="3"/>
  <c r="N37" i="3"/>
  <c r="N23" i="3"/>
  <c r="N22" i="3"/>
  <c r="N11" i="3"/>
  <c r="N12" i="3"/>
  <c r="E71" i="9"/>
  <c r="I33" i="1"/>
  <c r="P11" i="5"/>
  <c r="P8" i="5"/>
  <c r="P17" i="5"/>
  <c r="E99" i="4" s="1"/>
  <c r="E30" i="9"/>
  <c r="P13" i="5"/>
  <c r="G43" i="9" s="1"/>
  <c r="L13" i="5"/>
  <c r="E197" i="4"/>
  <c r="E196" i="4"/>
  <c r="E195" i="4"/>
  <c r="A230" i="4"/>
  <c r="A171" i="4"/>
  <c r="A120" i="4"/>
  <c r="A65" i="4"/>
  <c r="A63" i="2"/>
  <c r="A159" i="1"/>
  <c r="A108" i="1"/>
  <c r="A73" i="1"/>
  <c r="G76" i="1"/>
  <c r="E77" i="1"/>
  <c r="F24" i="5"/>
  <c r="F25" i="5"/>
  <c r="E123" i="9"/>
  <c r="K123" i="9" s="1"/>
  <c r="E41" i="4" s="1"/>
  <c r="N39" i="3"/>
  <c r="N36" i="3"/>
  <c r="N35" i="3"/>
  <c r="N34" i="3"/>
  <c r="N33" i="3"/>
  <c r="N21" i="3"/>
  <c r="N20" i="3"/>
  <c r="N19" i="3"/>
  <c r="N18" i="3"/>
  <c r="N14" i="3"/>
  <c r="N10" i="3"/>
  <c r="N9" i="3"/>
  <c r="N15" i="3"/>
  <c r="L11" i="5"/>
  <c r="L17" i="5"/>
  <c r="L8" i="5"/>
  <c r="F18" i="5"/>
  <c r="H15" i="3"/>
  <c r="G147" i="9"/>
  <c r="F15" i="3"/>
  <c r="F16" i="3"/>
  <c r="I19" i="1"/>
  <c r="I18" i="1"/>
  <c r="I56" i="1"/>
  <c r="E45" i="9"/>
  <c r="I92" i="1"/>
  <c r="I41" i="1"/>
  <c r="A157" i="1"/>
  <c r="I64" i="1"/>
  <c r="E60" i="9"/>
  <c r="I15" i="1"/>
  <c r="I91" i="1"/>
  <c r="A106" i="1"/>
  <c r="A71" i="1"/>
  <c r="I13" i="1"/>
  <c r="I12" i="1"/>
  <c r="I14" i="1"/>
  <c r="I16" i="1"/>
  <c r="I17" i="1"/>
  <c r="I20" i="1"/>
  <c r="E40" i="9"/>
  <c r="I21" i="1"/>
  <c r="E83" i="4"/>
  <c r="G27" i="1"/>
  <c r="E27" i="1"/>
  <c r="I94" i="1"/>
  <c r="I55" i="1"/>
  <c r="E44" i="9"/>
  <c r="I57" i="1"/>
  <c r="I58" i="1"/>
  <c r="I59" i="1"/>
  <c r="G60" i="1"/>
  <c r="E60" i="1"/>
  <c r="E67" i="1"/>
  <c r="I42" i="1"/>
  <c r="I34" i="1"/>
  <c r="I63" i="1"/>
  <c r="I65" i="1"/>
  <c r="I66" i="1" s="1"/>
  <c r="G66" i="1"/>
  <c r="I30" i="1"/>
  <c r="I31" i="1"/>
  <c r="I32" i="1"/>
  <c r="I35" i="1"/>
  <c r="I96" i="1"/>
  <c r="I97" i="1"/>
  <c r="I98" i="1"/>
  <c r="I100" i="1"/>
  <c r="I101" i="1"/>
  <c r="A3" i="1"/>
  <c r="G43" i="1"/>
  <c r="E43" i="1"/>
  <c r="E44" i="2"/>
  <c r="E45" i="2" s="1"/>
  <c r="E54" i="2" s="1"/>
  <c r="E57" i="2" s="1"/>
  <c r="A61" i="2"/>
  <c r="E18" i="2"/>
  <c r="E27" i="2"/>
  <c r="E28" i="2" s="1"/>
  <c r="A3" i="2"/>
  <c r="G72" i="3"/>
  <c r="F95" i="3"/>
  <c r="F96" i="3"/>
  <c r="F92" i="3"/>
  <c r="F73" i="3"/>
  <c r="F66" i="3"/>
  <c r="F85" i="3"/>
  <c r="F86" i="3"/>
  <c r="L15" i="3"/>
  <c r="L48" i="3" s="1"/>
  <c r="F74" i="3"/>
  <c r="J15" i="3"/>
  <c r="F67" i="3"/>
  <c r="A50" i="3"/>
  <c r="A1" i="3"/>
  <c r="N18" i="5"/>
  <c r="J46" i="5" s="1"/>
  <c r="A1" i="5"/>
  <c r="J18" i="5"/>
  <c r="H18" i="5"/>
  <c r="F43" i="8"/>
  <c r="F44" i="8" s="1"/>
  <c r="D43" i="8"/>
  <c r="H42" i="8"/>
  <c r="G120" i="9" s="1"/>
  <c r="H41" i="8"/>
  <c r="E92" i="9" s="1"/>
  <c r="D175" i="8"/>
  <c r="D176" i="8" s="1"/>
  <c r="D82" i="8"/>
  <c r="D85" i="8" s="1"/>
  <c r="D86" i="8" s="1"/>
  <c r="F31" i="8"/>
  <c r="F32" i="8" s="1"/>
  <c r="D31" i="8"/>
  <c r="H31" i="8" s="1"/>
  <c r="E216" i="4" s="1"/>
  <c r="H30" i="8"/>
  <c r="G81" i="9" s="1"/>
  <c r="H64" i="8"/>
  <c r="G113" i="9" s="1"/>
  <c r="H63" i="8"/>
  <c r="E93" i="9" s="1"/>
  <c r="H61" i="8"/>
  <c r="E22" i="9" s="1"/>
  <c r="G22" i="9"/>
  <c r="H17" i="8"/>
  <c r="G20" i="9" s="1"/>
  <c r="H13" i="8"/>
  <c r="E72" i="9" s="1"/>
  <c r="G72" i="9"/>
  <c r="D75" i="8"/>
  <c r="D76" i="8" s="1"/>
  <c r="H36" i="8"/>
  <c r="E110" i="9" s="1"/>
  <c r="H35" i="8"/>
  <c r="E82" i="9" s="1"/>
  <c r="D167" i="8"/>
  <c r="D168" i="8" s="1"/>
  <c r="D91" i="8"/>
  <c r="D92" i="8" s="1"/>
  <c r="D99" i="8"/>
  <c r="D100" i="8"/>
  <c r="F37" i="8"/>
  <c r="F38" i="8" s="1"/>
  <c r="D37" i="8"/>
  <c r="D38" i="8" s="1"/>
  <c r="F24" i="8"/>
  <c r="F25" i="8" s="1"/>
  <c r="D24" i="8"/>
  <c r="D25" i="8" s="1"/>
  <c r="H8" i="8"/>
  <c r="E18" i="9" s="1"/>
  <c r="F56" i="8"/>
  <c r="F57" i="8" s="1"/>
  <c r="D56" i="8"/>
  <c r="D57" i="8"/>
  <c r="H55" i="8"/>
  <c r="G149" i="9"/>
  <c r="H49" i="8"/>
  <c r="E29" i="9" s="1"/>
  <c r="E165" i="4"/>
  <c r="H50" i="8"/>
  <c r="G134" i="9" s="1"/>
  <c r="A1" i="8"/>
  <c r="H54" i="8"/>
  <c r="G112" i="9" s="1"/>
  <c r="H53" i="8"/>
  <c r="E84" i="9" s="1"/>
  <c r="H52" i="8"/>
  <c r="G111" i="9" s="1"/>
  <c r="H51" i="8"/>
  <c r="E83" i="9" s="1"/>
  <c r="H19" i="8"/>
  <c r="G109" i="9" s="1"/>
  <c r="H18" i="8"/>
  <c r="E80" i="9" s="1"/>
  <c r="G80" i="9"/>
  <c r="H12" i="8"/>
  <c r="E151" i="4" s="1"/>
  <c r="H10" i="8"/>
  <c r="E48" i="9" s="1"/>
  <c r="H11" i="8"/>
  <c r="E59" i="9" s="1"/>
  <c r="H29" i="8"/>
  <c r="G101" i="9" s="1"/>
  <c r="H28" i="8"/>
  <c r="G67" i="9" s="1"/>
  <c r="H48" i="8"/>
  <c r="G133" i="9" s="1"/>
  <c r="H65" i="8"/>
  <c r="E121" i="9" s="1"/>
  <c r="H62" i="8"/>
  <c r="G85" i="9" s="1"/>
  <c r="H60" i="8"/>
  <c r="G21" i="9" s="1"/>
  <c r="H47" i="8"/>
  <c r="G42" i="9" s="1"/>
  <c r="H23" i="8"/>
  <c r="E54" i="9" s="1"/>
  <c r="H22" i="8"/>
  <c r="E158" i="9" s="1"/>
  <c r="H21" i="8"/>
  <c r="E119" i="9" s="1"/>
  <c r="H20" i="8"/>
  <c r="E91" i="9" s="1"/>
  <c r="H16" i="8"/>
  <c r="G108" i="9" s="1"/>
  <c r="H14" i="8"/>
  <c r="G79" i="9" s="1"/>
  <c r="H9" i="8"/>
  <c r="G19" i="9" s="1"/>
  <c r="E15" i="9"/>
  <c r="E37" i="9"/>
  <c r="E38" i="9"/>
  <c r="E52" i="9"/>
  <c r="E53" i="9"/>
  <c r="E89" i="9"/>
  <c r="E118" i="9"/>
  <c r="E128" i="9"/>
  <c r="K128" i="9" s="1"/>
  <c r="E43" i="4" s="1"/>
  <c r="E153" i="9"/>
  <c r="E154" i="9"/>
  <c r="E156" i="9"/>
  <c r="E125" i="9"/>
  <c r="E157" i="9"/>
  <c r="E9" i="9"/>
  <c r="E10" i="9"/>
  <c r="E13" i="9"/>
  <c r="E66" i="9"/>
  <c r="E69" i="9"/>
  <c r="K69" i="9" s="1"/>
  <c r="E25" i="4" s="1"/>
  <c r="E78" i="9"/>
  <c r="E87" i="9"/>
  <c r="E100" i="9"/>
  <c r="E115" i="9"/>
  <c r="E11" i="9"/>
  <c r="E12" i="9"/>
  <c r="E88" i="9"/>
  <c r="E107" i="9"/>
  <c r="G37" i="9"/>
  <c r="G50" i="9"/>
  <c r="K50" i="9" s="1"/>
  <c r="E15" i="4" s="1"/>
  <c r="G90" i="9"/>
  <c r="G154" i="9"/>
  <c r="G160" i="9"/>
  <c r="G161" i="9"/>
  <c r="G116" i="9"/>
  <c r="G130" i="9"/>
  <c r="G148" i="9"/>
  <c r="G24" i="9"/>
  <c r="G32" i="9"/>
  <c r="G33" i="9"/>
  <c r="G47" i="9"/>
  <c r="G36" i="9"/>
  <c r="A1" i="9"/>
  <c r="E58" i="4"/>
  <c r="E247" i="4" s="1"/>
  <c r="E159" i="4"/>
  <c r="E158" i="4"/>
  <c r="E142" i="4"/>
  <c r="E141" i="4"/>
  <c r="E74" i="4"/>
  <c r="E253" i="4" s="1"/>
  <c r="E110" i="4"/>
  <c r="E206" i="4"/>
  <c r="A228" i="4"/>
  <c r="E203" i="4"/>
  <c r="A169" i="4"/>
  <c r="A118" i="4"/>
  <c r="A63" i="4"/>
  <c r="A3" i="4"/>
  <c r="G102" i="1"/>
  <c r="E107" i="2"/>
  <c r="E92" i="4"/>
  <c r="G45" i="9"/>
  <c r="E41" i="9"/>
  <c r="G41" i="9"/>
  <c r="E71" i="4"/>
  <c r="E252" i="4" s="1"/>
  <c r="E95" i="4"/>
  <c r="F46" i="3"/>
  <c r="F47" i="3"/>
  <c r="E149" i="9"/>
  <c r="G44" i="9"/>
  <c r="G67" i="1"/>
  <c r="E84" i="4"/>
  <c r="E44" i="1"/>
  <c r="G40" i="9"/>
  <c r="G44" i="1"/>
  <c r="I27" i="1"/>
  <c r="I43" i="1"/>
  <c r="G60" i="9"/>
  <c r="E85" i="4"/>
  <c r="E91" i="4"/>
  <c r="E82" i="4"/>
  <c r="I44" i="1"/>
  <c r="J48" i="3"/>
  <c r="N45" i="3"/>
  <c r="H46" i="3"/>
  <c r="H48" i="3"/>
  <c r="N31" i="3"/>
  <c r="N46" i="3"/>
  <c r="N16" i="3"/>
  <c r="F48" i="3"/>
  <c r="N47" i="3"/>
  <c r="N48" i="3"/>
  <c r="G119" i="9" l="1"/>
  <c r="E112" i="9"/>
  <c r="E108" i="9"/>
  <c r="G39" i="9"/>
  <c r="E113" i="9"/>
  <c r="D32" i="8"/>
  <c r="F97" i="3"/>
  <c r="F90" i="3" s="1"/>
  <c r="E111" i="9"/>
  <c r="H43" i="8"/>
  <c r="E218" i="4" s="1"/>
  <c r="E211" i="4"/>
  <c r="G82" i="9"/>
  <c r="E79" i="9"/>
  <c r="E109" i="9"/>
  <c r="E153" i="4"/>
  <c r="E67" i="9"/>
  <c r="G158" i="9"/>
  <c r="K158" i="9" s="1"/>
  <c r="E53" i="4" s="1"/>
  <c r="G54" i="9"/>
  <c r="K54" i="9" s="1"/>
  <c r="E16" i="4" s="1"/>
  <c r="E160" i="4"/>
  <c r="E86" i="4" s="1"/>
  <c r="E101" i="9"/>
  <c r="K101" i="9" s="1"/>
  <c r="E36" i="4" s="1"/>
  <c r="G83" i="9"/>
  <c r="E134" i="9"/>
  <c r="E210" i="4"/>
  <c r="G18" i="9"/>
  <c r="E85" i="9"/>
  <c r="H56" i="8"/>
  <c r="E150" i="4"/>
  <c r="G104" i="9"/>
  <c r="K104" i="9" s="1"/>
  <c r="E37" i="4" s="1"/>
  <c r="E147" i="4"/>
  <c r="E21" i="9"/>
  <c r="E177" i="4"/>
  <c r="G29" i="9"/>
  <c r="G59" i="9"/>
  <c r="K62" i="9" s="1"/>
  <c r="E19" i="4" s="1"/>
  <c r="E213" i="4"/>
  <c r="H37" i="8"/>
  <c r="E217" i="4" s="1"/>
  <c r="E19" i="9"/>
  <c r="G110" i="9"/>
  <c r="K149" i="9"/>
  <c r="E48" i="4" s="1"/>
  <c r="G91" i="9"/>
  <c r="E120" i="9"/>
  <c r="K72" i="9"/>
  <c r="E26" i="4" s="1"/>
  <c r="E164" i="4"/>
  <c r="E166" i="4" s="1"/>
  <c r="E90" i="4" s="1"/>
  <c r="G74" i="9"/>
  <c r="K74" i="9" s="1"/>
  <c r="E27" i="4" s="1"/>
  <c r="E42" i="9"/>
  <c r="G93" i="9"/>
  <c r="K76" i="9"/>
  <c r="E200" i="4"/>
  <c r="E108" i="4" s="1"/>
  <c r="E143" i="4"/>
  <c r="E77" i="4" s="1"/>
  <c r="E225" i="4"/>
  <c r="E113" i="4" s="1"/>
  <c r="K161" i="9"/>
  <c r="E54" i="4" s="1"/>
  <c r="K126" i="9"/>
  <c r="E42" i="4" s="1"/>
  <c r="E88" i="1"/>
  <c r="I88" i="1" s="1"/>
  <c r="I102" i="1" s="1"/>
  <c r="L18" i="5"/>
  <c r="J49" i="5" s="1"/>
  <c r="G30" i="9"/>
  <c r="K138" i="9"/>
  <c r="E47" i="4" s="1"/>
  <c r="E43" i="9"/>
  <c r="K30" i="9"/>
  <c r="E12" i="4" s="1"/>
  <c r="K143" i="9"/>
  <c r="E44" i="4" s="1"/>
  <c r="K67" i="9"/>
  <c r="E23" i="4" s="1"/>
  <c r="E212" i="4"/>
  <c r="H24" i="8"/>
  <c r="E178" i="4"/>
  <c r="G84" i="9"/>
  <c r="G48" i="9"/>
  <c r="K48" i="9" s="1"/>
  <c r="E14" i="4" s="1"/>
  <c r="E207" i="4"/>
  <c r="E109" i="4" s="1"/>
  <c r="E152" i="4"/>
  <c r="D44" i="8"/>
  <c r="E39" i="9"/>
  <c r="E149" i="4"/>
  <c r="H67" i="8"/>
  <c r="E148" i="4"/>
  <c r="G121" i="9"/>
  <c r="E133" i="9"/>
  <c r="G92" i="9"/>
  <c r="E20" i="9"/>
  <c r="E81" i="9"/>
  <c r="K154" i="9"/>
  <c r="E52" i="4" s="1"/>
  <c r="I60" i="1"/>
  <c r="I67" i="1" s="1"/>
  <c r="K113" i="9" l="1"/>
  <c r="K134" i="9"/>
  <c r="E46" i="4" s="1"/>
  <c r="E179" i="4"/>
  <c r="E93" i="4" s="1"/>
  <c r="K22" i="9"/>
  <c r="E11" i="4" s="1"/>
  <c r="K93" i="9"/>
  <c r="E219" i="4"/>
  <c r="E112" i="4" s="1"/>
  <c r="K121" i="9"/>
  <c r="E38" i="4" s="1"/>
  <c r="E55" i="4"/>
  <c r="E102" i="1"/>
  <c r="E106" i="2" s="1"/>
  <c r="K45" i="9"/>
  <c r="E13" i="4" s="1"/>
  <c r="K85" i="9"/>
  <c r="E28" i="4" s="1"/>
  <c r="E32" i="4" s="1"/>
  <c r="G163" i="9"/>
  <c r="E163" i="9"/>
  <c r="E154" i="4"/>
  <c r="E81" i="4" s="1"/>
  <c r="E103" i="4" s="1"/>
  <c r="E104" i="4" s="1"/>
  <c r="E49" i="4"/>
  <c r="E20" i="4" l="1"/>
  <c r="E251" i="4" s="1"/>
  <c r="K163" i="9"/>
  <c r="E168" i="9" s="1"/>
  <c r="G168" i="9" s="1"/>
  <c r="E57" i="4"/>
  <c r="E59" i="4" s="1"/>
  <c r="E249" i="4" s="1"/>
  <c r="E245" i="4" l="1"/>
  <c r="K168" i="9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<sst xmlns="http://schemas.openxmlformats.org/spreadsheetml/2006/main" count="1638" uniqueCount="1038">
  <si>
    <t>Statement of Use Policy</t>
  </si>
  <si>
    <t>Statement of Cash Flows Template Using the Direct Method</t>
  </si>
  <si>
    <t>North Carolina Community Colleges</t>
  </si>
  <si>
    <r>
      <t>The accompanying "</t>
    </r>
    <r>
      <rPr>
        <i/>
        <sz val="10"/>
        <color indexed="12"/>
        <rFont val="Arial"/>
        <family val="2"/>
      </rPr>
      <t>Statement of Cash Flows Template Using the Direct Method - NC Community</t>
    </r>
  </si>
  <si>
    <r>
      <t>Colleges</t>
    </r>
    <r>
      <rPr>
        <sz val="10"/>
        <rFont val="Arial"/>
        <family val="2"/>
      </rPr>
      <t>" was developed by the North Carolina Office of the State Controller (OSC) with assistance from</t>
    </r>
  </si>
  <si>
    <t>Durham Technical Community College, Craven Community College, and the University of North Carolina -</t>
  </si>
  <si>
    <t>General Administration</t>
  </si>
  <si>
    <t>Except for North Carolina public colleges and universities, we request that users make reference to OSC</t>
  </si>
  <si>
    <t>as the developer of the accompanying template.  Also, users should provide OSC with samples of any</t>
  </si>
  <si>
    <t>materials utilizing this template or parts thereof.  If you have any questions, please contact</t>
  </si>
  <si>
    <t>John Krellner (John.Krellner@ncosc.gov)</t>
  </si>
  <si>
    <t>Mailing Address</t>
  </si>
  <si>
    <t>State of North Carolina</t>
  </si>
  <si>
    <t>Office of the State Controller</t>
  </si>
  <si>
    <t>1410 Mail Service Center</t>
  </si>
  <si>
    <t>Raleigh, NC 27699-1410</t>
  </si>
  <si>
    <t>General</t>
  </si>
  <si>
    <t>Enter name of institution (cell "E6")</t>
  </si>
  <si>
    <t xml:space="preserve"> Name of institution    </t>
  </si>
  <si>
    <t>Name of College</t>
  </si>
  <si>
    <t>Data Input (Steps 1 - 6)</t>
  </si>
  <si>
    <t>Checklist</t>
  </si>
  <si>
    <t>Step 1</t>
  </si>
  <si>
    <r>
      <t xml:space="preserve">Prepare </t>
    </r>
    <r>
      <rPr>
        <u/>
        <sz val="10"/>
        <rFont val="Arial"/>
        <family val="2"/>
      </rPr>
      <t>comparative</t>
    </r>
    <r>
      <rPr>
        <sz val="10"/>
        <rFont val="Arial"/>
        <family val="2"/>
      </rPr>
      <t xml:space="preserve"> statement of net position </t>
    </r>
    <r>
      <rPr>
        <i/>
        <sz val="10"/>
        <rFont val="Arial"/>
        <family val="2"/>
      </rPr>
      <t>(Exhibit A)</t>
    </r>
  </si>
  <si>
    <t>-</t>
  </si>
  <si>
    <t>Recast balances into the GASB-34 format</t>
  </si>
  <si>
    <t xml:space="preserve">Present assets and liabilities in a "classified" format, including separate reporting of </t>
  </si>
  <si>
    <t>restricted assets</t>
  </si>
  <si>
    <t>Eliminate due from/due to other funds and related operating statement effects</t>
  </si>
  <si>
    <t>Report capital assets net of accumulated depreciation</t>
  </si>
  <si>
    <t>Reclassify fund equity into the 3 categories of net position</t>
  </si>
  <si>
    <t>Restate prior year balances for any classification changes</t>
  </si>
  <si>
    <t>Step 2</t>
  </si>
  <si>
    <r>
      <t xml:space="preserve">Prepare Statement of Revenues, Expenses, and Changes in Net Position </t>
    </r>
    <r>
      <rPr>
        <i/>
        <sz val="10"/>
        <rFont val="Arial"/>
        <family val="2"/>
      </rPr>
      <t>(Exhibit B)</t>
    </r>
  </si>
  <si>
    <t>Recast amounts into the GASB-34 format</t>
  </si>
  <si>
    <t>Report operating expenses by natural classification (salaries/wages, utilities, etc.)</t>
  </si>
  <si>
    <t>Eliminate transfers between funds</t>
  </si>
  <si>
    <t>Reduce amount expended for plant facilities in Unexpended Plant by corresponding amount</t>
  </si>
  <si>
    <t>in Investment in Plant (classify net amount as "Supplies and materials")</t>
  </si>
  <si>
    <t>Eliminate amount for disposal of plant facilities (Note: only report gain/loss on sale)</t>
  </si>
  <si>
    <t>Report scholarship discounts and allowances as contra-revenues (not as revenues and</t>
  </si>
  <si>
    <t>financial aid expenses) except if developed as employee benefits or received from third</t>
  </si>
  <si>
    <t>party payors to satisfy fees of specified students (NACUBO AR 2000-05)</t>
  </si>
  <si>
    <t>Report uncollectible amounts related to revenues of the current period as contra-revenues</t>
  </si>
  <si>
    <t>(not as bad debt expense, except for notes receivable)</t>
  </si>
  <si>
    <t>Eliminate double counting inherent to internal service funds and transactions between an</t>
  </si>
  <si>
    <t>institution and its auxiliary enterprises</t>
  </si>
  <si>
    <t>Report depreciation expense on capital assets</t>
  </si>
  <si>
    <t>Step 3</t>
  </si>
  <si>
    <r>
      <t>Prepare changes in capital assets worksheet (</t>
    </r>
    <r>
      <rPr>
        <i/>
        <sz val="10"/>
        <rFont val="Arial"/>
        <family val="2"/>
      </rPr>
      <t>Exhibit C)</t>
    </r>
  </si>
  <si>
    <t>(Note: Required note disclosure under GASB Statement 34.)</t>
  </si>
  <si>
    <t>Step 4</t>
  </si>
  <si>
    <r>
      <t xml:space="preserve">Prepare changes in long-term debt worksheet </t>
    </r>
    <r>
      <rPr>
        <i/>
        <sz val="10"/>
        <rFont val="Arial"/>
        <family val="2"/>
      </rPr>
      <t>(Exhibit D)</t>
    </r>
  </si>
  <si>
    <t>Step 5</t>
  </si>
  <si>
    <r>
      <t xml:space="preserve">Prepare analysis of receivables, payables, and other items worksheet </t>
    </r>
    <r>
      <rPr>
        <i/>
        <sz val="10"/>
        <rFont val="Arial"/>
        <family val="2"/>
      </rPr>
      <t>(Exhibit E)</t>
    </r>
  </si>
  <si>
    <t>(Note: includes additional information necessary to prepare a statement of cash flows.)</t>
  </si>
  <si>
    <t>Step 6</t>
  </si>
  <si>
    <t>The template will automatically generate the cash flow worksheet (Exhibit F) and the statement</t>
  </si>
  <si>
    <t>of cash flows (Exhibit G).  Do not enter any data in these exhibits.</t>
  </si>
  <si>
    <t>Review for accuracy and make any other adjustments deemed necessary</t>
  </si>
  <si>
    <r>
      <t xml:space="preserve">Template has been completed in accordance with all accounting rules </t>
    </r>
    <r>
      <rPr>
        <i/>
        <sz val="10"/>
        <rFont val="Arial"/>
        <family val="2"/>
      </rPr>
      <t>(see Exhibit E)</t>
    </r>
  </si>
  <si>
    <r>
      <t>All of the error checks display "</t>
    </r>
    <r>
      <rPr>
        <b/>
        <sz val="10"/>
        <color indexed="12"/>
        <rFont val="Arial"/>
        <family val="2"/>
      </rPr>
      <t>OK</t>
    </r>
    <r>
      <rPr>
        <sz val="10"/>
        <rFont val="Arial"/>
        <family val="2"/>
      </rPr>
      <t>" as opposed to "</t>
    </r>
    <r>
      <rPr>
        <b/>
        <sz val="10"/>
        <color indexed="10"/>
        <rFont val="Arial"/>
        <family val="2"/>
      </rPr>
      <t>ERROR</t>
    </r>
    <r>
      <rPr>
        <sz val="10"/>
        <rFont val="Arial"/>
        <family val="2"/>
      </rPr>
      <t>"</t>
    </r>
  </si>
  <si>
    <t>Hide Columns G-J before publishing to the web.</t>
  </si>
  <si>
    <t>OSC Only</t>
  </si>
  <si>
    <t>Date of Change</t>
  </si>
  <si>
    <t>Worksheet / Narrative #</t>
  </si>
  <si>
    <t>Description of Change</t>
  </si>
  <si>
    <t>Analyst</t>
  </si>
  <si>
    <t>Web Team Notified to Update SIG</t>
  </si>
  <si>
    <t>Revision Date for SIG</t>
  </si>
  <si>
    <t>Date Agencies Notified</t>
  </si>
  <si>
    <t xml:space="preserve"> </t>
  </si>
  <si>
    <t>JTS</t>
  </si>
  <si>
    <t>NA</t>
  </si>
  <si>
    <t>Exhibit A</t>
  </si>
  <si>
    <t>Statement of Net Position</t>
  </si>
  <si>
    <t>Per Audit</t>
  </si>
  <si>
    <t>Change</t>
  </si>
  <si>
    <t>ASSETS</t>
  </si>
  <si>
    <t>Current assets:</t>
  </si>
  <si>
    <t>Cash and cash equivalents</t>
  </si>
  <si>
    <t>A-1</t>
  </si>
  <si>
    <t>Restricted cash and cash equivalents</t>
  </si>
  <si>
    <t>Short-term investments</t>
  </si>
  <si>
    <t>ExhE</t>
  </si>
  <si>
    <t>Restricted short-term investments</t>
  </si>
  <si>
    <t>Receivables, net</t>
  </si>
  <si>
    <t>Due from primary government</t>
  </si>
  <si>
    <t>Due from State of NC component units</t>
  </si>
  <si>
    <t>Due from Community College component units</t>
  </si>
  <si>
    <t>Inventories</t>
  </si>
  <si>
    <t>A-2</t>
  </si>
  <si>
    <t>Prepaid items</t>
  </si>
  <si>
    <t>A-3</t>
  </si>
  <si>
    <t>Notes receivable, net</t>
  </si>
  <si>
    <t xml:space="preserve">Lease receivable, net </t>
  </si>
  <si>
    <t xml:space="preserve">PPP Asset receivable </t>
  </si>
  <si>
    <t>Beneficial interest in assets held by others</t>
  </si>
  <si>
    <t>Exhibit G</t>
  </si>
  <si>
    <t>Net OPEB asset</t>
  </si>
  <si>
    <t>Total current assets</t>
  </si>
  <si>
    <t>Noncurrent assets:</t>
  </si>
  <si>
    <t>Restricted due from primary government</t>
  </si>
  <si>
    <t>Restricted due from State of NC component units</t>
  </si>
  <si>
    <t>Restricted investments</t>
  </si>
  <si>
    <t>Other long-term investments</t>
  </si>
  <si>
    <t>Lease receivable, net</t>
  </si>
  <si>
    <t>Capital assets - nondepreciable</t>
  </si>
  <si>
    <t>ExhC</t>
  </si>
  <si>
    <t>Capital assets - depreciable, net</t>
  </si>
  <si>
    <t>Total noncurrent assets</t>
  </si>
  <si>
    <t>Total assets</t>
  </si>
  <si>
    <t>DEFERRED OUTFLOWS OF RESOURCES</t>
  </si>
  <si>
    <t>Deferred outflows for Asset Retirement Obligations</t>
  </si>
  <si>
    <t>Deferred outflows for pensions</t>
  </si>
  <si>
    <t>Deferred outflows for OPEB</t>
  </si>
  <si>
    <t>Other Deferred Outflows</t>
  </si>
  <si>
    <t>LIABILITIES</t>
  </si>
  <si>
    <t>Current liabilities:</t>
  </si>
  <si>
    <t>Accounts payable and accrued liabilities</t>
  </si>
  <si>
    <t>Due to primary government</t>
  </si>
  <si>
    <t>A-4</t>
  </si>
  <si>
    <t>Due to State of North Carolina component units</t>
  </si>
  <si>
    <t>A-5</t>
  </si>
  <si>
    <t>Unearned revenue</t>
  </si>
  <si>
    <t>Funds held for others</t>
  </si>
  <si>
    <t>Long-term liabilities - current portion</t>
  </si>
  <si>
    <t>ExhD</t>
  </si>
  <si>
    <t>Total current liabilities</t>
  </si>
  <si>
    <t>Noncurrent liabilities:</t>
  </si>
  <si>
    <t>US government grants refundable</t>
  </si>
  <si>
    <t>A-6</t>
  </si>
  <si>
    <t>Long-term liabilities</t>
  </si>
  <si>
    <t>Total noncurrent liabilities</t>
  </si>
  <si>
    <t>Total liabilities</t>
  </si>
  <si>
    <t>Exhibit A, cont.</t>
  </si>
  <si>
    <t>DEFERRED INFLOWS OF RESOURCES</t>
  </si>
  <si>
    <t>Deferred inflows for irrevocable split-interest agreements</t>
  </si>
  <si>
    <t>Deferred inflows for pensions</t>
  </si>
  <si>
    <t>Deferred inflows for OPEB</t>
  </si>
  <si>
    <r>
      <t xml:space="preserve">Deferred inflows for leases  </t>
    </r>
    <r>
      <rPr>
        <sz val="10"/>
        <color indexed="10"/>
        <rFont val="Arial"/>
        <family val="2"/>
      </rPr>
      <t xml:space="preserve"> </t>
    </r>
  </si>
  <si>
    <t>A_7</t>
  </si>
  <si>
    <t>Deferred inflows for PPP Arrangement</t>
  </si>
  <si>
    <t>A_8</t>
  </si>
  <si>
    <t>NET POSITION</t>
  </si>
  <si>
    <t>Net investment in capital assets</t>
  </si>
  <si>
    <t>Restricted for:</t>
  </si>
  <si>
    <t>Nonexpendable:</t>
  </si>
  <si>
    <t>Scholarships and fellowships</t>
  </si>
  <si>
    <t>Loans</t>
  </si>
  <si>
    <t>Restricted for specific programs</t>
  </si>
  <si>
    <t>Other</t>
  </si>
  <si>
    <t>Expendable:</t>
  </si>
  <si>
    <t>Capital projects</t>
  </si>
  <si>
    <t>Unrestricted</t>
  </si>
  <si>
    <t>Total net position</t>
  </si>
  <si>
    <t>Notes</t>
  </si>
  <si>
    <t>(1)</t>
  </si>
  <si>
    <t>GASB 34 requires institutions to present assets and liabilities in a "classified" format, including</t>
  </si>
  <si>
    <t>separate reporting of restricted assets.  Individual assets and liabilities are classified as current</t>
  </si>
  <si>
    <t>or long-term based on whether they are expected to generate or use cash within 12 months of the</t>
  </si>
  <si>
    <t>end of the fiscal period. Restricted assets that can be used for current operations (e.g., certain</t>
  </si>
  <si>
    <t xml:space="preserve">grant revenues) should be reported as current assets.  Restricted assets that cannot be used for </t>
  </si>
  <si>
    <t xml:space="preserve">current operations (e.g. restricted for acquisition/construction of capital assets or segregated for </t>
  </si>
  <si>
    <t>the liquidation of long-term debt) should be reported as noncurrent assets.</t>
  </si>
  <si>
    <t>(2)</t>
  </si>
  <si>
    <t xml:space="preserve">Unrestricted cash and cash equivalents classified as current assets equals the following: </t>
  </si>
  <si>
    <t>Balances in the unrestricted general and proprietary funds.</t>
  </si>
  <si>
    <t>(3)</t>
  </si>
  <si>
    <t>Restricted cash and cash equivalents classified as current assets equals the following:</t>
  </si>
  <si>
    <t>Balances in the restricted and loan funds.</t>
  </si>
  <si>
    <t>Balances in plant funds equal to the amount of current liabilities.</t>
  </si>
  <si>
    <t>(4)</t>
  </si>
  <si>
    <t>Restricted cash and cash equivalents classified as noncurrent assets equals the following:</t>
  </si>
  <si>
    <t>Balances in the endowment and agency funds.</t>
  </si>
  <si>
    <t>Balances in plant funds not reported as current restricted.</t>
  </si>
  <si>
    <t>(5)</t>
  </si>
  <si>
    <t>Restricted short-term investments equals the following:</t>
  </si>
  <si>
    <t>Short-term investment balances in the restricted and loan funds.</t>
  </si>
  <si>
    <t>(6)</t>
  </si>
  <si>
    <t xml:space="preserve">Receivables are reported net of allowances for doubtful accounts.  Noncurrent receivables consist  </t>
  </si>
  <si>
    <t>of the following:</t>
  </si>
  <si>
    <t>Noncurrent portion of pledges receivable.</t>
  </si>
  <si>
    <t>Receivables from counties that are restricted for the acquisition/construction of capital assets.</t>
  </si>
  <si>
    <t>(7)</t>
  </si>
  <si>
    <t>Restricted due from primary government equals the following:</t>
  </si>
  <si>
    <t xml:space="preserve">Receivables from DCC in the plant fund that are restricted for expenditure in the acquisition or </t>
  </si>
  <si>
    <t>construction of capital assets (e.g., higher education bond monies and CI appropriations).</t>
  </si>
  <si>
    <t>(8)</t>
  </si>
  <si>
    <t>US government grants refundable classified as noncurrent liabilities equals the following:</t>
  </si>
  <si>
    <t>The refundable portion of Perkins grants reported in loan funds.</t>
  </si>
  <si>
    <t>(9)</t>
  </si>
  <si>
    <t>Net investment in capital assets equals the following:</t>
  </si>
  <si>
    <t>(Note: This amount is automatically calculated by EXCEL upon completing Exhibits C, D and E)</t>
  </si>
  <si>
    <t>Capital assets</t>
  </si>
  <si>
    <t>Less: Accumulated depreciation</t>
  </si>
  <si>
    <t>Less: Outstanding principal of related debt</t>
  </si>
  <si>
    <t>(i.e., Notes payable and capital leases payable)</t>
  </si>
  <si>
    <t>(10)</t>
  </si>
  <si>
    <r>
      <t xml:space="preserve">Net position should be reported as restricted when constraints placed on asset use are </t>
    </r>
    <r>
      <rPr>
        <u/>
        <sz val="10"/>
        <rFont val="Arial"/>
        <family val="2"/>
      </rPr>
      <t>externally</t>
    </r>
  </si>
  <si>
    <t>imposed by creditors, grantors, or laws or regulations of other governments (see new SIG policy</t>
  </si>
  <si>
    <t>on "Net Position").</t>
  </si>
  <si>
    <r>
      <t xml:space="preserve">Restricted nonexpendable net position should include "true endowments" and </t>
    </r>
    <r>
      <rPr>
        <u/>
        <sz val="10"/>
        <rFont val="Arial"/>
        <family val="2"/>
      </rPr>
      <t>exclude</t>
    </r>
  </si>
  <si>
    <t>"quasi-endowments"</t>
  </si>
  <si>
    <t xml:space="preserve">Restricted expendable net position should include the corpus of quasi-endowments if the donor </t>
  </si>
  <si>
    <t>stipulated that the resources must be used for specific purposes, current restricted funds, loan</t>
  </si>
  <si>
    <t xml:space="preserve">funds, and unexpended plant funds that are restricted. </t>
  </si>
  <si>
    <t xml:space="preserve">Net position restricted for capital projects should equal the restricted fund balance of the </t>
  </si>
  <si>
    <t>unexpended plant fund plus any liabilities reclassified to net investment in capital assets.</t>
  </si>
  <si>
    <t>(11)</t>
  </si>
  <si>
    <t>Unrestricted net position should include the corpus of quasi-endowments if the donor stipulated</t>
  </si>
  <si>
    <t>that the resources could be used for anything determined by the institution. Also, it should include</t>
  </si>
  <si>
    <t>all other unrestricted funds (Note: amount may be negative).</t>
  </si>
  <si>
    <t>(12)</t>
  </si>
  <si>
    <r>
      <t xml:space="preserve">The amounts for the prior fiscal year should be keyed from the </t>
    </r>
    <r>
      <rPr>
        <u/>
        <sz val="10"/>
        <rFont val="Arial"/>
        <family val="2"/>
      </rPr>
      <t>audited</t>
    </r>
    <r>
      <rPr>
        <sz val="10"/>
        <rFont val="Arial"/>
        <family val="2"/>
      </rPr>
      <t xml:space="preserve"> financial statements, if</t>
    </r>
  </si>
  <si>
    <t>available (i.e., not from the prior year compiled financial statements submitted to OSC on August 31</t>
  </si>
  <si>
    <t>or the prior year cash flow template).</t>
  </si>
  <si>
    <t>(13)</t>
  </si>
  <si>
    <t xml:space="preserve">Community Colleges that received Coronavirus Relief Funds from the Community College System Office </t>
  </si>
  <si>
    <t>and eligible expenses have not been incurred on an accrual basis by the Community College as of June 30th</t>
  </si>
  <si>
    <t xml:space="preserve">should report this cash as due to primary government, (i.e. if eligible expenses have not been incurred at June 30th, </t>
  </si>
  <si>
    <t>State Aid - CRF revenue should not be recognized; it should instead be reported as due to primary government).</t>
  </si>
  <si>
    <t>Community Colleges that received Coronavirus funds directly from the federal government and</t>
  </si>
  <si>
    <t>eligible expenses have not been incurred on an accrual basis by the Community College as of June 30th</t>
  </si>
  <si>
    <t xml:space="preserve">should report this cash as unearned revenue, (i.e. if eligible expenses have not been incurred at June 30th, </t>
  </si>
  <si>
    <t>Federal Aid - COVID-19 revenue should not be recognized; it should instead be reported as unearned revenue).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</si>
  <si>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This template was not updated for GASB 65. Colleges typically are not expected to have amounts</t>
    </r>
  </si>
  <si>
    <t>that would need to be reclassified from assets/liabilities to deferred outflows/deferred inflow of resources</t>
  </si>
  <si>
    <t>(e.g., donations/grants transmitted in advance where the only unmet eligibility requirements was a time</t>
  </si>
  <si>
    <t>requirement). If you become aware of assets/liabilities on the template that should be reclassified due to</t>
  </si>
  <si>
    <t>GASB 65, please contact OSC.</t>
  </si>
  <si>
    <t>Exhibit B</t>
  </si>
  <si>
    <t>Statement of Revenues, Expenses, and Changes in Net Position</t>
  </si>
  <si>
    <t>OPERATING REVENUES</t>
  </si>
  <si>
    <r>
      <t xml:space="preserve">Student tuition and fees, </t>
    </r>
    <r>
      <rPr>
        <sz val="10"/>
        <rFont val="Arial"/>
        <family val="2"/>
      </rPr>
      <t>net</t>
    </r>
  </si>
  <si>
    <t>B-1</t>
  </si>
  <si>
    <t>Federal grants and contracts</t>
  </si>
  <si>
    <t>B-2</t>
  </si>
  <si>
    <t>State and local grants and contracts</t>
  </si>
  <si>
    <t>B-3</t>
  </si>
  <si>
    <t>Nongovernmental grants and contracts</t>
  </si>
  <si>
    <t>B-4</t>
  </si>
  <si>
    <t>Sales and services, net</t>
  </si>
  <si>
    <t>B-5</t>
  </si>
  <si>
    <t>Rental and lease earnings</t>
  </si>
  <si>
    <t>B-28</t>
  </si>
  <si>
    <t>Other operating revenues</t>
  </si>
  <si>
    <t>Total operating revenues</t>
  </si>
  <si>
    <t>OPERATING EXPENSES</t>
  </si>
  <si>
    <t>Salaries and benefits</t>
  </si>
  <si>
    <t>B-6</t>
  </si>
  <si>
    <t>Supplies and services</t>
  </si>
  <si>
    <t>B-7</t>
  </si>
  <si>
    <t>Services</t>
  </si>
  <si>
    <t>B-8</t>
  </si>
  <si>
    <t>B-9</t>
  </si>
  <si>
    <t>Utilities</t>
  </si>
  <si>
    <t>B-10</t>
  </si>
  <si>
    <t>Depreciation/amortization</t>
  </si>
  <si>
    <t>B-11</t>
  </si>
  <si>
    <t>Total operating expenses</t>
  </si>
  <si>
    <t>Operating income (loss)</t>
  </si>
  <si>
    <t>NONOPERATING REVENUES (EXPENSES)</t>
  </si>
  <si>
    <t>State aid</t>
  </si>
  <si>
    <t>B-12</t>
  </si>
  <si>
    <t>State aid - coronavirus relief fund</t>
  </si>
  <si>
    <t>B-23</t>
  </si>
  <si>
    <t>County appropriations</t>
  </si>
  <si>
    <t>B-13</t>
  </si>
  <si>
    <t>Student Financial Aid</t>
  </si>
  <si>
    <t>B_24</t>
  </si>
  <si>
    <t>Federal Aid - COVID-19</t>
  </si>
  <si>
    <t>B-25</t>
  </si>
  <si>
    <t>Noncapital grants - student financial aid</t>
  </si>
  <si>
    <t>B-22</t>
  </si>
  <si>
    <t>Noncapital contributions, net</t>
  </si>
  <si>
    <t>B-26</t>
  </si>
  <si>
    <t>Noncapital grants</t>
  </si>
  <si>
    <t>B-14</t>
  </si>
  <si>
    <t>Noncapital gifts, net</t>
  </si>
  <si>
    <t>B-15</t>
  </si>
  <si>
    <t>Investment income, net</t>
  </si>
  <si>
    <t>Interest and fees on debt</t>
  </si>
  <si>
    <t>B-16</t>
  </si>
  <si>
    <t>B-31</t>
  </si>
  <si>
    <t>Other nonoperating revenues (expenses)</t>
  </si>
  <si>
    <t>Net nonoperating revenues</t>
  </si>
  <si>
    <t>Income before other revenues, expenses, gains, and losses</t>
  </si>
  <si>
    <t>State capital aid</t>
  </si>
  <si>
    <t>B-17</t>
  </si>
  <si>
    <t>County capital aid</t>
  </si>
  <si>
    <t>B-18</t>
  </si>
  <si>
    <t>Capital contributions,  net</t>
  </si>
  <si>
    <t>B-27</t>
  </si>
  <si>
    <t>Capital grants</t>
  </si>
  <si>
    <t>B-19</t>
  </si>
  <si>
    <t>Capital gifts, net</t>
  </si>
  <si>
    <t>B-20</t>
  </si>
  <si>
    <t>Additions to endowments</t>
  </si>
  <si>
    <t>B-21</t>
  </si>
  <si>
    <t>Special items</t>
  </si>
  <si>
    <t>Extraordinary items</t>
  </si>
  <si>
    <t>Increase (decrease) in net position</t>
  </si>
  <si>
    <t>Net position, July 1 (see Note 8 below)</t>
  </si>
  <si>
    <t>Restatement (See Note 8 below)</t>
  </si>
  <si>
    <t>Net position, June 30</t>
  </si>
  <si>
    <t>Exhibit B, cont.</t>
  </si>
  <si>
    <t>Revenues are reported net of discounts and allowances.  Allowances related to revenues</t>
  </si>
  <si>
    <t>of the current period include the following:</t>
  </si>
  <si>
    <t>Scholarship allowances related to student tuition and fees</t>
  </si>
  <si>
    <t>Uncollectibles related to student tuition and fees</t>
  </si>
  <si>
    <t>Uncollectibles related to sales and services</t>
  </si>
  <si>
    <t>Uncollectibles related to noncapital gifts</t>
  </si>
  <si>
    <t>Uncollectibles related to capital gifts</t>
  </si>
  <si>
    <t xml:space="preserve">Tuition remission policies developed as employee benefits should be accounted for as </t>
  </si>
  <si>
    <t xml:space="preserve">compensation expense and not as a scholarship allowance to tuition because the tuition </t>
  </si>
  <si>
    <t>remission was given in exchange for services.</t>
  </si>
  <si>
    <t>Federal grants and contracts classified as operating revenues include the following:</t>
  </si>
  <si>
    <t>Federal revenues that are exchange and exchange-like transactions.</t>
  </si>
  <si>
    <t>State, local, and nongovernmental grants and contracts classified as operating revenues</t>
  </si>
  <si>
    <t>include the following:</t>
  </si>
  <si>
    <t>Other grant and contract revenues related to exchange and exchange-like transactions.</t>
  </si>
  <si>
    <t>State aid classified as nonoperating revenues should include the following:</t>
  </si>
  <si>
    <t>Certifications received from DCC for operating purposes.</t>
  </si>
  <si>
    <t>Noncapital grants classified as nonoperating revenues should include the following:</t>
  </si>
  <si>
    <t xml:space="preserve">Noncapital federal, State, local and nongovernmental grant revenues (include grants </t>
  </si>
  <si>
    <t>from other State agencies but exclude certifications from DCC).</t>
  </si>
  <si>
    <t>State capital aid reported below nonoperating revenues should include the following:</t>
  </si>
  <si>
    <t>DCC bond and CI revenues restricted for capital projects.</t>
  </si>
  <si>
    <t>Generally, the "Restatement" line on Exhibit B should be zero since the prior year column</t>
  </si>
  <si>
    <t>amounts on Exhibit A should have been restated (i.e., The "Restatement" amount should be</t>
  </si>
  <si>
    <t>reclassified to the "Net position, July 1" line on Exhibit B). On Exhibit A, the total net position</t>
  </si>
  <si>
    <t>in the prior year column should agree with the "Net position, July 1" line on Exhibit B.</t>
  </si>
  <si>
    <t>Error Checks</t>
  </si>
  <si>
    <t>Ending net position agrees with balance sheet</t>
  </si>
  <si>
    <t>Beginning net position agrees with balance sheet</t>
  </si>
  <si>
    <t>Exhibit C</t>
  </si>
  <si>
    <t>Changes in Capital Assets</t>
  </si>
  <si>
    <t>Beginning</t>
  </si>
  <si>
    <t>Prior Year</t>
  </si>
  <si>
    <t>Ending</t>
  </si>
  <si>
    <t>Balances</t>
  </si>
  <si>
    <t>Adjustments</t>
  </si>
  <si>
    <t>Increases</t>
  </si>
  <si>
    <t>Decreases</t>
  </si>
  <si>
    <t>Capital assets, non-depreciable:</t>
  </si>
  <si>
    <t>Land and permanent easements</t>
  </si>
  <si>
    <t>Art, literature, and artifacts</t>
  </si>
  <si>
    <t>Construction in progress</t>
  </si>
  <si>
    <t>Computer software in development</t>
  </si>
  <si>
    <t>Patents in development</t>
  </si>
  <si>
    <t>Other intangible assets-nondepreciable</t>
  </si>
  <si>
    <t>Total capital assets, non-depreciable</t>
  </si>
  <si>
    <t>(Note: should equal total on Exhibit A)</t>
  </si>
  <si>
    <t>Capital assets, depreciable:</t>
  </si>
  <si>
    <t>Buildings</t>
  </si>
  <si>
    <t>Machinery and equipment</t>
  </si>
  <si>
    <t>General infrastructure</t>
  </si>
  <si>
    <t>Computer software</t>
  </si>
  <si>
    <t>Patents</t>
  </si>
  <si>
    <t>Other intangible assets</t>
  </si>
  <si>
    <t xml:space="preserve">Lease/SBITA assets, depreciable: </t>
  </si>
  <si>
    <t xml:space="preserve">Right to use lease assets - land </t>
  </si>
  <si>
    <t xml:space="preserve">Right to use lease assets - buildings </t>
  </si>
  <si>
    <t xml:space="preserve">Right to use lease assets - M&amp;E </t>
  </si>
  <si>
    <t xml:space="preserve">Right to use lease assets - gen infrastructure </t>
  </si>
  <si>
    <t>Subscription (SBITA) asset</t>
  </si>
  <si>
    <t>Totals</t>
  </si>
  <si>
    <t>Less accumulated depreciation for:</t>
  </si>
  <si>
    <t>Art, literature and artifacts</t>
  </si>
  <si>
    <t>Right to use lease assets - buildings</t>
  </si>
  <si>
    <t>Right to use lease assets - gen infrastructure</t>
  </si>
  <si>
    <t xml:space="preserve">Subscription (SBITA) asset </t>
  </si>
  <si>
    <t>Total capital assets, depreciable, net</t>
  </si>
  <si>
    <t>Capital assets, net</t>
  </si>
  <si>
    <t>Exhibit C, cont.</t>
  </si>
  <si>
    <t>Capital assets - increases:</t>
  </si>
  <si>
    <t>Acquisitions:</t>
  </si>
  <si>
    <t>Purchased/constructed/developed</t>
  </si>
  <si>
    <t>C-1</t>
  </si>
  <si>
    <t>Right to use lease assets (noncash portion)</t>
  </si>
  <si>
    <t>C-2</t>
  </si>
  <si>
    <t xml:space="preserve">Noncash portion will equal lease liability additions D-3 </t>
  </si>
  <si>
    <t xml:space="preserve">Right to use lease assets (cash portion) </t>
  </si>
  <si>
    <t>C-9</t>
  </si>
  <si>
    <t>Upfront payments and ancillary charges included in Right to Use Asset Value represents cash outlay</t>
  </si>
  <si>
    <t xml:space="preserve">Subscription (SBITA) assets (noncash portion) </t>
  </si>
  <si>
    <t>C_10</t>
  </si>
  <si>
    <t xml:space="preserve">Noncash portion will equal subscription(SIBTA) liability additions D-3 </t>
  </si>
  <si>
    <t xml:space="preserve">Subscription (SBITA) assets (cash portion) </t>
  </si>
  <si>
    <t>C_11</t>
  </si>
  <si>
    <t>Upfront payments and ancillary charges included in Right to Use SBITA Asset Value represents cash outlay</t>
  </si>
  <si>
    <t>Donations at fair value (noncash)</t>
  </si>
  <si>
    <t>C-3</t>
  </si>
  <si>
    <t>Special item - donations at fair value (noncash)</t>
  </si>
  <si>
    <t>E-54</t>
  </si>
  <si>
    <t>(Must equal Exhibit E, Special item - capital assets increases - donations at fair value)</t>
  </si>
  <si>
    <t>Interest expense capitalized</t>
  </si>
  <si>
    <t>C-4</t>
  </si>
  <si>
    <t>Less: interest income capitalized</t>
  </si>
  <si>
    <t>C-5</t>
  </si>
  <si>
    <t>Reclassifications - construction in progress</t>
  </si>
  <si>
    <t>Total</t>
  </si>
  <si>
    <t>(Note: should equal column J, row 15 plus row 30.)</t>
  </si>
  <si>
    <t>Capital assets - decreases:</t>
  </si>
  <si>
    <t>Cost of capital assets sold</t>
  </si>
  <si>
    <r>
      <t>Cost of capital assets written off (noncash)</t>
    </r>
    <r>
      <rPr>
        <vertAlign val="superscript"/>
        <sz val="9"/>
        <rFont val="Arial"/>
        <family val="2"/>
      </rPr>
      <t>1</t>
    </r>
  </si>
  <si>
    <t>C-6</t>
  </si>
  <si>
    <t>(Note: should equal column L, row 15 plus row 25)</t>
  </si>
  <si>
    <t>Accumulated depreciation - increases:</t>
  </si>
  <si>
    <t>Depreciation expense</t>
  </si>
  <si>
    <t>C-8</t>
  </si>
  <si>
    <t>(Note: should equal column J, row 34.)</t>
  </si>
  <si>
    <t>Accumulated depreciation - decreases:</t>
  </si>
  <si>
    <t>Accumulated depreciation on capital assets sold</t>
  </si>
  <si>
    <t>Accumulated depreciation on capital assets written off</t>
  </si>
  <si>
    <t>(Note: should equal column L, row 43.)</t>
  </si>
  <si>
    <t>Other Information</t>
  </si>
  <si>
    <t>Proceeds from sale of capital assets:</t>
  </si>
  <si>
    <t>C-7</t>
  </si>
  <si>
    <t>(Must complete Exhibit E to eliminate "ERROR' message)</t>
  </si>
  <si>
    <t>Automatic Calculation (must equal above)</t>
  </si>
  <si>
    <t>Less: Accumulated depreciation on capital assets sold</t>
  </si>
  <si>
    <t>Less: Note issued to county for sale of capital assets</t>
  </si>
  <si>
    <t>E-59</t>
  </si>
  <si>
    <t xml:space="preserve">Plus: Gain (loss) on sale of capital assets per Exhibit E </t>
  </si>
  <si>
    <t>E-46</t>
  </si>
  <si>
    <t xml:space="preserve">Plus: Gain (loss) reported as special item per Exhibit E </t>
  </si>
  <si>
    <t>E-53</t>
  </si>
  <si>
    <t>Proceeds from sale of capital assets</t>
  </si>
  <si>
    <t>If capital assets written off are not fully depreciated, insignificant losses on write-offs could be eliminated by adjusting the current period's</t>
  </si>
  <si>
    <t xml:space="preserve">depreciation expense by the amount of the gain or loss (Note: losses on write-offs that are not eliminated should be reported on Exhibit E - </t>
  </si>
  <si>
    <t>"Other nonoperating revenues (expenses) - Loss on write-offs of capital assets".</t>
  </si>
  <si>
    <r>
      <t xml:space="preserve">The "Beginning Balances" should be keyed from the prior year </t>
    </r>
    <r>
      <rPr>
        <u/>
        <sz val="9"/>
        <rFont val="Arial"/>
        <family val="2"/>
      </rPr>
      <t>audited</t>
    </r>
    <r>
      <rPr>
        <sz val="9"/>
        <rFont val="Arial"/>
        <family val="2"/>
      </rPr>
      <t xml:space="preserve"> financial statements, if available.  The "Prior Year Adjustments"</t>
    </r>
  </si>
  <si>
    <t>column should only include restatements made by the college after the prior year audited financial statements were issued.</t>
  </si>
  <si>
    <t>Exhibit D</t>
  </si>
  <si>
    <t>Changes in Long-term Liabilities</t>
  </si>
  <si>
    <t>Due Within</t>
  </si>
  <si>
    <t>Additions</t>
  </si>
  <si>
    <t>Reductions</t>
  </si>
  <si>
    <t>One Year</t>
  </si>
  <si>
    <t>Notes payable</t>
  </si>
  <si>
    <t>D-2</t>
  </si>
  <si>
    <t>Notes from direct borrowings</t>
  </si>
  <si>
    <t>D-2A</t>
  </si>
  <si>
    <t>Notes from Direct Placement</t>
  </si>
  <si>
    <t>D-2B</t>
  </si>
  <si>
    <r>
      <t>Leases liability</t>
    </r>
    <r>
      <rPr>
        <sz val="9"/>
        <color indexed="10"/>
        <rFont val="Arial"/>
        <family val="2"/>
      </rPr>
      <t xml:space="preserve"> </t>
    </r>
  </si>
  <si>
    <t>D-3</t>
  </si>
  <si>
    <t>D-4</t>
  </si>
  <si>
    <t xml:space="preserve">Subscription (SBITA) liability </t>
  </si>
  <si>
    <t>D_9</t>
  </si>
  <si>
    <t>D_10</t>
  </si>
  <si>
    <t>Pollution remediation payable</t>
  </si>
  <si>
    <t>D-7</t>
  </si>
  <si>
    <t>Net pension liability</t>
  </si>
  <si>
    <t>Net OPEB liability</t>
  </si>
  <si>
    <t>Asset Retirement Obligation</t>
  </si>
  <si>
    <t>D-8</t>
  </si>
  <si>
    <t>Compensated absences</t>
  </si>
  <si>
    <t>D-5</t>
  </si>
  <si>
    <t>Total long-term liabilities</t>
  </si>
  <si>
    <t>Notes from Direct Borrowings - additions:</t>
  </si>
  <si>
    <t>Cash proceeds from financing agreements</t>
  </si>
  <si>
    <t>D-1</t>
  </si>
  <si>
    <t>Noncash financing agreements</t>
  </si>
  <si>
    <t>D-6</t>
  </si>
  <si>
    <t>(Include Notes from Direct Borrowings issued for noncash consideration - e.g., building)</t>
  </si>
  <si>
    <t>(Note: should equal column H, row 9)</t>
  </si>
  <si>
    <t>The "Beginning Balances" and "Ending Balances" include current and noncurrent portions.</t>
  </si>
  <si>
    <t>"Annuity and Life Income Payable" transactions are excluded from this template.  If your college has any such transactions, you will</t>
  </si>
  <si>
    <t>need to make manual adjustments to this template.</t>
  </si>
  <si>
    <t>Total beginning balances equal current and noncurrent portions per balance sheet</t>
  </si>
  <si>
    <r>
      <t xml:space="preserve">Total due within one year equals </t>
    </r>
    <r>
      <rPr>
        <i/>
        <sz val="8"/>
        <rFont val="Arial"/>
        <family val="2"/>
      </rPr>
      <t>Long-term liabilities-current portion</t>
    </r>
    <r>
      <rPr>
        <sz val="8"/>
        <rFont val="Arial"/>
        <family val="2"/>
      </rPr>
      <t xml:space="preserve"> per balance sheet</t>
    </r>
  </si>
  <si>
    <r>
      <t xml:space="preserve">Total ending balances less due within one year equals </t>
    </r>
    <r>
      <rPr>
        <i/>
        <sz val="8"/>
        <rFont val="Arial"/>
        <family val="2"/>
      </rPr>
      <t>Long-term liabilities (noncurrent)</t>
    </r>
  </si>
  <si>
    <t>per balance sheet</t>
  </si>
  <si>
    <t>Lease liability additions equals "Right to use lease assets (noncash portion)" on Exh C (C-2)</t>
  </si>
  <si>
    <t xml:space="preserve">Subscription liability additions equals "Subscription assets (noncash portion)" on Exh C (C10)  </t>
  </si>
  <si>
    <t>Exhibit E</t>
  </si>
  <si>
    <t>Accounts receivable - tuition and fees, net</t>
  </si>
  <si>
    <t>E-1</t>
  </si>
  <si>
    <t xml:space="preserve">Accounts receivable - sales and services/other operating </t>
  </si>
  <si>
    <t>E-2</t>
  </si>
  <si>
    <t>Accounts receivable - students (financial aid, etc.)</t>
  </si>
  <si>
    <t>E-3</t>
  </si>
  <si>
    <t>Accounts receivable - nonoperating (related to misc. nonoperating revenues)</t>
  </si>
  <si>
    <t>E-4</t>
  </si>
  <si>
    <t>Accounts receivable - travel advances to employees</t>
  </si>
  <si>
    <t>E-5</t>
  </si>
  <si>
    <t xml:space="preserve">Intergovernmental receivable - Pell, SEOG, and college work study </t>
  </si>
  <si>
    <t>E-6</t>
  </si>
  <si>
    <t>Intergovernmental receivable - other noncapital</t>
  </si>
  <si>
    <t>E-7</t>
  </si>
  <si>
    <t>Intergovernmental receivable - county capital appropriation</t>
  </si>
  <si>
    <t>E-58</t>
  </si>
  <si>
    <t>Intergovernmental receivable - other capital</t>
  </si>
  <si>
    <t>E-8</t>
  </si>
  <si>
    <t>Private grantors receivable - operating (exchange transactions only)</t>
  </si>
  <si>
    <t>E-9</t>
  </si>
  <si>
    <t>Private grantors receivable - noncapital</t>
  </si>
  <si>
    <t>E-10</t>
  </si>
  <si>
    <t>Private grantors receivable - capital</t>
  </si>
  <si>
    <t>E-11</t>
  </si>
  <si>
    <t>Pledges receivable - noncapital (current and noncurrent)</t>
  </si>
  <si>
    <t>E-12</t>
  </si>
  <si>
    <t>Pledges receivable - capital (current and noncurrent)</t>
  </si>
  <si>
    <t>E-13</t>
  </si>
  <si>
    <t>Interest receivable - investments</t>
  </si>
  <si>
    <t>E-14</t>
  </si>
  <si>
    <t>Interest receivable - loans</t>
  </si>
  <si>
    <t>E-15</t>
  </si>
  <si>
    <t>Due from primary government (current and noncurrent/restricted)</t>
  </si>
  <si>
    <t>DCC certification receivable - noncapital (typically will be zero)</t>
  </si>
  <si>
    <t>E-16</t>
  </si>
  <si>
    <t>DCC bond and CI receivable - capital</t>
  </si>
  <si>
    <t>E-17</t>
  </si>
  <si>
    <t>Other State agencies - noncapital</t>
  </si>
  <si>
    <t>E-18</t>
  </si>
  <si>
    <t>(Note: should equal amount on Exhibit A)</t>
  </si>
  <si>
    <t>Due from State of NC component units - noncapital</t>
  </si>
  <si>
    <t>E-19</t>
  </si>
  <si>
    <t>Due from State of NC component units - capital</t>
  </si>
  <si>
    <t>E-20</t>
  </si>
  <si>
    <t>Due from College component units - noncapital</t>
  </si>
  <si>
    <t>E-20a</t>
  </si>
  <si>
    <t>Due from College component units - capital</t>
  </si>
  <si>
    <t>E-20b</t>
  </si>
  <si>
    <t>Accounts payable - operating goods and services</t>
  </si>
  <si>
    <t>E-21</t>
  </si>
  <si>
    <t>Accounts payable - capital assets (related to assets capitalized on Exhibit A)</t>
  </si>
  <si>
    <t>E-22</t>
  </si>
  <si>
    <t>Accrued payroll</t>
  </si>
  <si>
    <t>E-23</t>
  </si>
  <si>
    <t>Contracts payable</t>
  </si>
  <si>
    <t>E-24</t>
  </si>
  <si>
    <t>Intergovernmental payable - noncapital</t>
  </si>
  <si>
    <t>E-25</t>
  </si>
  <si>
    <t>Intergovernmental payable - capital</t>
  </si>
  <si>
    <t>E-26</t>
  </si>
  <si>
    <t>Private grantors payable - noncapital</t>
  </si>
  <si>
    <t>E-27</t>
  </si>
  <si>
    <t>Private grantors payable - capital</t>
  </si>
  <si>
    <t>E-28</t>
  </si>
  <si>
    <t>Interest payable</t>
  </si>
  <si>
    <t>E-29</t>
  </si>
  <si>
    <t>Student tuition and fees</t>
  </si>
  <si>
    <t>E-30</t>
  </si>
  <si>
    <t>Operating grants/contracts; sales/services (related to operating revenues only)</t>
  </si>
  <si>
    <t>E-31</t>
  </si>
  <si>
    <t>E-32</t>
  </si>
  <si>
    <t>Noncapital gifts</t>
  </si>
  <si>
    <t>E-33</t>
  </si>
  <si>
    <t>E-34</t>
  </si>
  <si>
    <t>Capital gifts</t>
  </si>
  <si>
    <t>E-35</t>
  </si>
  <si>
    <t>E-71</t>
  </si>
  <si>
    <t>Investments (current, noncurrent, and restricted)</t>
  </si>
  <si>
    <t>Purchase of investments (at cost)</t>
  </si>
  <si>
    <t>E-37</t>
  </si>
  <si>
    <t>Donations of investments/securities (at fair value)</t>
  </si>
  <si>
    <t>E-38</t>
  </si>
  <si>
    <t>Sales and maturities of investments (at cost)</t>
  </si>
  <si>
    <t>E-39</t>
  </si>
  <si>
    <t>Increase (decrease) in "Allowance – Fair Value of Investments"</t>
  </si>
  <si>
    <t>E-40</t>
  </si>
  <si>
    <t>(Note: Must equal row 80 below)</t>
  </si>
  <si>
    <t>(Note: must equal change on Exhibit A)</t>
  </si>
  <si>
    <t>Net increase (decrease) in FV of investments</t>
  </si>
  <si>
    <t>Realized gain (loss) on sale</t>
  </si>
  <si>
    <t>E-41</t>
  </si>
  <si>
    <t>Unrealized gain (loss) [Note: 13th period accrual less reversal of PY allowance].</t>
  </si>
  <si>
    <t>(Note: Must equal row 73 above]</t>
  </si>
  <si>
    <t>Interest and dividends</t>
  </si>
  <si>
    <t>E-42</t>
  </si>
  <si>
    <t>Investment expenses  (assume all paid in cash - no accruals)</t>
  </si>
  <si>
    <t>E-43</t>
  </si>
  <si>
    <t xml:space="preserve">Total </t>
  </si>
  <si>
    <t>(Must equal amount on Exhibit B)</t>
  </si>
  <si>
    <t>Interest earnings on loans</t>
  </si>
  <si>
    <t>E-44</t>
  </si>
  <si>
    <t>Other operating revenues (excluding sales and services)</t>
  </si>
  <si>
    <t>E-45</t>
  </si>
  <si>
    <t>Gain (loss) on sale of capital assets (Note: exclude special items)</t>
  </si>
  <si>
    <r>
      <t>(Loss) on write-offs of capital assets</t>
    </r>
    <r>
      <rPr>
        <sz val="8"/>
        <rFont val="Arial"/>
        <family val="2"/>
      </rPr>
      <t xml:space="preserve"> (difference between cost and accumulated depreciation)</t>
    </r>
  </si>
  <si>
    <t>Insurance proceeds on capital assets stolen or destroyed</t>
  </si>
  <si>
    <t>E-47</t>
  </si>
  <si>
    <t>Miscellaneous nonoperating revenues (expenses)</t>
  </si>
  <si>
    <t>E-48</t>
  </si>
  <si>
    <t xml:space="preserve">Leases receivable (current and noncurrent) </t>
  </si>
  <si>
    <t>Beginning (restated) combined balance lease receivable</t>
  </si>
  <si>
    <t>Calculated formula from Exhibit A</t>
  </si>
  <si>
    <t xml:space="preserve">     Current year additions (enter as a positive)</t>
  </si>
  <si>
    <t>E-84</t>
  </si>
  <si>
    <t>Keyed by agency: noncash (mapped to Noncash disclosure for increase in nonoperating receivables)</t>
  </si>
  <si>
    <t xml:space="preserve">     Current year principal payments received (enter as a negative)</t>
  </si>
  <si>
    <t>E-79</t>
  </si>
  <si>
    <t>Keyed by agency: Cash inflow for Capital: Proceeds from lease arrangements</t>
  </si>
  <si>
    <t>Ending combined balance lease receivable</t>
  </si>
  <si>
    <t>(Note: must equal amount on Exhinbit A)</t>
  </si>
  <si>
    <t>Notes receivable (net):</t>
  </si>
  <si>
    <t>Note issued to county for sale of capital asset</t>
  </si>
  <si>
    <t>Collection of note issued to county</t>
  </si>
  <si>
    <t>E-60</t>
  </si>
  <si>
    <t xml:space="preserve">Loans issued to students </t>
  </si>
  <si>
    <t>E-49</t>
  </si>
  <si>
    <t>Collection of loans to students</t>
  </si>
  <si>
    <t>E-50</t>
  </si>
  <si>
    <t>Increase (decrease) in allowance for doubtful accounts</t>
  </si>
  <si>
    <t>E-51</t>
  </si>
  <si>
    <t xml:space="preserve">Loans written off </t>
  </si>
  <si>
    <t>E-52</t>
  </si>
  <si>
    <t>(Note: should equal change on Exhibit A, which is net of allowance)</t>
  </si>
  <si>
    <t>Deferred outflows for pensions:</t>
  </si>
  <si>
    <t>Deferred outflows - contributions after the measurement date</t>
  </si>
  <si>
    <t>E-63</t>
  </si>
  <si>
    <t>Other deferred outflows for pensions</t>
  </si>
  <si>
    <t>(Must equal amount on Exhibit A)</t>
  </si>
  <si>
    <t>Deferred outflows for OPEB:</t>
  </si>
  <si>
    <t>E-67</t>
  </si>
  <si>
    <t>Other deferred outflows for OPEB</t>
  </si>
  <si>
    <t xml:space="preserve">Change in deferred inflows for leases:  </t>
  </si>
  <si>
    <t>Deferred inflows for leases amortized in current period (recognized as lease revenue-noncash)</t>
  </si>
  <si>
    <t>E-80</t>
  </si>
  <si>
    <t>Enter as negative</t>
  </si>
  <si>
    <t>Increase in lease deferred inflows due to upfront payments received in current year (cash)</t>
  </si>
  <si>
    <t>E-83</t>
  </si>
  <si>
    <t>Enter as positive</t>
  </si>
  <si>
    <t>Increase in lease deferred inflows related to current year increase in lease receivable (noncash)</t>
  </si>
  <si>
    <t>Net change in deferred inflows for leases</t>
  </si>
  <si>
    <t xml:space="preserve">Change in deferred inflows for PPP Arrangements:  </t>
  </si>
  <si>
    <t>Deferred inflows for PPP amortized in current period (recognized as revenue-noncash)</t>
  </si>
  <si>
    <t>E-91</t>
  </si>
  <si>
    <t>Increase in PPP deferred inflows due to upfront payments received in current year (cash)</t>
  </si>
  <si>
    <t>E-92</t>
  </si>
  <si>
    <t>Increase in PPP deferred inflows related to current year increase in PPP asset/receivable (noncash)</t>
  </si>
  <si>
    <t>Net change in deferred inflows for PPP</t>
  </si>
  <si>
    <t>TSERS allocation – pension expense (included with "Salaries and benefits" on Exh B)</t>
  </si>
  <si>
    <t>E-64</t>
  </si>
  <si>
    <t>Must enter amount</t>
  </si>
  <si>
    <t>TSERS allocation – misc. expense (included with "Services" on Exh B)</t>
  </si>
  <si>
    <t>E-65</t>
  </si>
  <si>
    <t>TSERS allocation – misc. income (included with "Operating revenues" on Exh B)</t>
  </si>
  <si>
    <t>E-66</t>
  </si>
  <si>
    <t>OPEB allocations (expense/income amounts per 13th period entry):</t>
  </si>
  <si>
    <t>OPEB allocation – OPEB expense (included with "Salaries and benefits" on Exh B)</t>
  </si>
  <si>
    <t>E-68</t>
  </si>
  <si>
    <t>OPEB allocation – misc. expense (included with "Services" on Exh B)</t>
  </si>
  <si>
    <t>E-69</t>
  </si>
  <si>
    <t>OPEB allocation – misc. income (included with "Operating revenues" on Exh B)</t>
  </si>
  <si>
    <t>E-70</t>
  </si>
  <si>
    <t>OPEB allocation - RHBF Noncapital contribiutions</t>
  </si>
  <si>
    <t>E-72</t>
  </si>
  <si>
    <t>Funds held for others (current and noncurrent)</t>
  </si>
  <si>
    <t>William D. Ford direct lending receipts</t>
  </si>
  <si>
    <t>E-61</t>
  </si>
  <si>
    <t>William D. Ford direct lending disbursements (enter as positive)</t>
  </si>
  <si>
    <t>E-62</t>
  </si>
  <si>
    <t>Other receipts/disbursements, net (enter as positive or negative)</t>
  </si>
  <si>
    <t>E-36</t>
  </si>
  <si>
    <t>Special items:</t>
  </si>
  <si>
    <t>(Example:  Significant gain (loss) on sale of capital assets - generally N/A)</t>
  </si>
  <si>
    <t>Special items - gain (loss) on sale of capital assets</t>
  </si>
  <si>
    <t>Special items - capital assets increases - donations at fair value (noncash)</t>
  </si>
  <si>
    <t>Extraordinary items:</t>
  </si>
  <si>
    <t>(Examples: Large bequest by a private citizen, significant damage by a natural</t>
  </si>
  <si>
    <t xml:space="preserve">  disaster or terrorist act)</t>
  </si>
  <si>
    <t>Extraordinary items - noncapital gift revenue</t>
  </si>
  <si>
    <t>E-56</t>
  </si>
  <si>
    <t>Extraordinary items - capital gift revenue</t>
  </si>
  <si>
    <t>E-57</t>
  </si>
  <si>
    <t>Other Information:</t>
  </si>
  <si>
    <r>
      <t xml:space="preserve">Amount of unspent proceeds - notes payable </t>
    </r>
    <r>
      <rPr>
        <vertAlign val="superscript"/>
        <sz val="11"/>
        <rFont val="Arial"/>
        <family val="2"/>
      </rPr>
      <t>(1)</t>
    </r>
  </si>
  <si>
    <t>Adjustment to Net Investment in Capital Assets</t>
  </si>
  <si>
    <t>Note</t>
  </si>
  <si>
    <t>(1)1</t>
  </si>
  <si>
    <t>Include the unspent debt proceeds related to outstanding notes payable as of June 30.  As required by</t>
  </si>
  <si>
    <t>GASB 34, paragraph 33, the unspent portion of notes payable should reduce the net position balance</t>
  </si>
  <si>
    <t>of the component that includes the unspent cash.  For example, if a college has unspent capital</t>
  </si>
  <si>
    <t>debt proceeds at year-end, the portion of the debt attributable to the unspent proceeds should not</t>
  </si>
  <si>
    <t>be included in the calculation of "net investment in capital assets".  Rather, that portion of the debt</t>
  </si>
  <si>
    <t>should be included in the same net position component as the unspent proceeds  (i.e., "Restricted</t>
  </si>
  <si>
    <t>for Capital Projects").</t>
  </si>
  <si>
    <t>Note:  Template may need to be adjusted for entries related to Perkins Loans, if applicable.</t>
  </si>
  <si>
    <t>Accounting Rules</t>
  </si>
  <si>
    <t>RECEIVABLES</t>
  </si>
  <si>
    <t>Credit must be to "Student tuition and fees" revenues</t>
  </si>
  <si>
    <t>Accounts receivable - sales and services/other operating</t>
  </si>
  <si>
    <t>Credit must be to "Sales and services" or "Other operating revenues"</t>
  </si>
  <si>
    <t>Credit must be to "Scholarships and fellowships" operating expenses</t>
  </si>
  <si>
    <t xml:space="preserve">Accounts receivable - nonoperating </t>
  </si>
  <si>
    <t>Credit must be to "Other nonoperating revenues"</t>
  </si>
  <si>
    <t>Credit must be to "Cash"</t>
  </si>
  <si>
    <t>Intergovernmental receivable</t>
  </si>
  <si>
    <t>Credit must be to "Noncapital grants" revenue or "Capital grants" revenue</t>
  </si>
  <si>
    <t>Private grantors receivable</t>
  </si>
  <si>
    <t>Pledges receivable</t>
  </si>
  <si>
    <t>Credit must be to "Noncapital gifts" revenue or "Capital gifts" revenue</t>
  </si>
  <si>
    <t>Interest receivable</t>
  </si>
  <si>
    <t>Credit must be to "Investment income"</t>
  </si>
  <si>
    <t>Credit must be to "State aid" revenue, "State capital aid" revenue, or "Noncapital grants" revenue</t>
  </si>
  <si>
    <t>Due from State of North Carolina component units</t>
  </si>
  <si>
    <t>Due from College component units</t>
  </si>
  <si>
    <t>Note receivable</t>
  </si>
  <si>
    <t>PAYABLES</t>
  </si>
  <si>
    <t>Debit must be to "Supplies and materials", "Services", or "Utilities" operating expenses</t>
  </si>
  <si>
    <t>Accounts payable - capital assets</t>
  </si>
  <si>
    <t>Debit must be to a capital asset account (i.e., not an expense)</t>
  </si>
  <si>
    <t>Debit must be to "Personal services" operating expenses</t>
  </si>
  <si>
    <t>Intergovernmental payable</t>
  </si>
  <si>
    <t>Debit must be to "Noncapital grants" revenue or "Capital grants" revenue</t>
  </si>
  <si>
    <t>Private grantors payable</t>
  </si>
  <si>
    <t>Debit must be to "Interest and fees on debt" operating expenses</t>
  </si>
  <si>
    <t>Due to State of North Carolina Component Units</t>
  </si>
  <si>
    <t>Deferred revenue</t>
  </si>
  <si>
    <t>Debit must be to "Cash"</t>
  </si>
  <si>
    <r>
      <t xml:space="preserve">Debit must be to "Cash" or "Capital assets" </t>
    </r>
    <r>
      <rPr>
        <i/>
        <sz val="10"/>
        <rFont val="Arial"/>
        <family val="2"/>
      </rPr>
      <t>(non-cash consideration)</t>
    </r>
  </si>
  <si>
    <t>Debit must be to "Supplies and materials" or "Services" (or a restatement).</t>
  </si>
  <si>
    <t>OTHER ACCOUNTS</t>
  </si>
  <si>
    <t>(Note: need to adjust worksheet if any donated inventories)</t>
  </si>
  <si>
    <t xml:space="preserve">Other operating revenues  </t>
  </si>
  <si>
    <t>Debit must be to "Accounts receivable - sales and services/other operating" or "Cash"</t>
  </si>
  <si>
    <t xml:space="preserve">Other nonoperating revenues  </t>
  </si>
  <si>
    <t>Debit must be to "Accounts receivable - nonoperating" or "Cash"</t>
  </si>
  <si>
    <r>
      <t xml:space="preserve">Debit must be to "Cash" </t>
    </r>
    <r>
      <rPr>
        <i/>
        <sz val="10"/>
        <rFont val="Arial"/>
        <family val="2"/>
      </rPr>
      <t xml:space="preserve"> (cannot be accrued per GASB Statement 33)</t>
    </r>
  </si>
  <si>
    <t>NOTE:  The accounting rules may need to be modified for new or unique transactions (i.e. annuity and life income payable transactions).</t>
  </si>
  <si>
    <t>Also, the template may need to be modified for prior period adjustments to current asset or current liability accounts.</t>
  </si>
  <si>
    <t>Exhibit F</t>
  </si>
  <si>
    <t>Inflows</t>
  </si>
  <si>
    <t>Outflows</t>
  </si>
  <si>
    <t>Ref.</t>
  </si>
  <si>
    <t>Caption Totals</t>
  </si>
  <si>
    <t>CASH FLOWS FROM OPERATING ACTIVITIES</t>
  </si>
  <si>
    <t>Received from customers</t>
  </si>
  <si>
    <t>Student tuition and fees, net</t>
  </si>
  <si>
    <t>TSERS allocation – miscellaneous income</t>
  </si>
  <si>
    <t>OPEB allocation – miscellaneous income</t>
  </si>
  <si>
    <t>Change in accounts receivable - tuition and fees receivable, net</t>
  </si>
  <si>
    <t>Change in accounts receivable - sales and services/other operating</t>
  </si>
  <si>
    <t>Change in private grantors receivable - operating</t>
  </si>
  <si>
    <t>Change in unearned revenue - student tuition and fees</t>
  </si>
  <si>
    <t>Change in unearned revenue - operating grants/contracts; sales/services</t>
  </si>
  <si>
    <t>Payments to employees and fringe benefits</t>
  </si>
  <si>
    <t>Pension expense - proportionate share for TSERS</t>
  </si>
  <si>
    <t>OPEB expense - proportionate share for OPEB</t>
  </si>
  <si>
    <t>Deferred outflows - contributions after the measurement date - pension</t>
  </si>
  <si>
    <t>Deferred outflows - contributions after the measurement date - OPEB</t>
  </si>
  <si>
    <t>Change in accrued payroll</t>
  </si>
  <si>
    <t>Change in accrued vacation leave</t>
  </si>
  <si>
    <t>Payments to vendors and suppliers</t>
  </si>
  <si>
    <t>TSERS allocation – miscellaneous expense</t>
  </si>
  <si>
    <t>OPEB allocation – miscellaneous expense</t>
  </si>
  <si>
    <t>Notes receivable: increase (decrease) in allowance for doubtful accounts</t>
  </si>
  <si>
    <t>Notes receivable: loans written off</t>
  </si>
  <si>
    <t>Change in accounts receivable - travel advances to employees</t>
  </si>
  <si>
    <t>Change in inventories</t>
  </si>
  <si>
    <t>Change in prepaid items</t>
  </si>
  <si>
    <t>Change in accounts payable - operating goods and services</t>
  </si>
  <si>
    <t>Change in pollution remediation payable</t>
  </si>
  <si>
    <t>Change in due to primary government</t>
  </si>
  <si>
    <t>Change in due to State of North Carolina component units</t>
  </si>
  <si>
    <t>Payments for scholarships and fellowships</t>
  </si>
  <si>
    <t>Change in accounts receivable - students (financial aid, etc.)</t>
  </si>
  <si>
    <t>Loans issued to students</t>
  </si>
  <si>
    <t>Notes receivable: loans issued to students</t>
  </si>
  <si>
    <t>Notes receivable - collection of loans to students</t>
  </si>
  <si>
    <t>Change in interest receivable - loans</t>
  </si>
  <si>
    <t>William D. Ford direct lending disbursements</t>
  </si>
  <si>
    <t>Other receipts (payments)</t>
  </si>
  <si>
    <t xml:space="preserve">Change in accounts receivable - nonoperating </t>
  </si>
  <si>
    <t>Change in US government grants refundable</t>
  </si>
  <si>
    <t xml:space="preserve">Amortized PPP revenue (decrease in deferred inflows for PPP) </t>
  </si>
  <si>
    <t>Other receipts/disbursements, net</t>
  </si>
  <si>
    <t>CASH FLOWS FROM NONCAPITAL FINANCING ACTIVITIES</t>
  </si>
  <si>
    <t>State aid received</t>
  </si>
  <si>
    <t>Change in due from primary government: DCC certification - noncapital</t>
  </si>
  <si>
    <t>State aid - coronavirus</t>
  </si>
  <si>
    <t>B-24</t>
  </si>
  <si>
    <t>Noncapital grants - Student financial aid</t>
  </si>
  <si>
    <t>Caption no longer used (hidden on Exh B), not mapped into caption that flows to Exhibit G</t>
  </si>
  <si>
    <t>Change in intergovernmental receivable - Pell, SEOG, College Work Study</t>
  </si>
  <si>
    <t>Change in unearned revenue - Federal Aid - COVID-19</t>
  </si>
  <si>
    <t>OPEB - RHBF Noncapital contributions</t>
  </si>
  <si>
    <t>Noncapital grants received</t>
  </si>
  <si>
    <t>Change in intergovernmental receivable - other noncapital</t>
  </si>
  <si>
    <t>Change in private grantors receivable - noncapital</t>
  </si>
  <si>
    <t>Change in due from primary government: other State agencies - noncapital</t>
  </si>
  <si>
    <t>Change in due from State of NC component units - noncapital</t>
  </si>
  <si>
    <t>Change in intergovernmental payable - noncapital</t>
  </si>
  <si>
    <t>Change in private grantors payable - noncapital</t>
  </si>
  <si>
    <t>Change in unearned revenues - noncapital grants</t>
  </si>
  <si>
    <t>Noncapital gifts and endowments received</t>
  </si>
  <si>
    <t>Extraordinary items - noncapital gift revenues</t>
  </si>
  <si>
    <t>Investments: donations of investments/securities (at fair value)</t>
  </si>
  <si>
    <t>Change in pledges receivable - noncapital</t>
  </si>
  <si>
    <t>Change in due from College component units - noncapital</t>
  </si>
  <si>
    <t>Change in unearned revenues - noncapital gifts</t>
  </si>
  <si>
    <t>CASH FLOWS FROM CAPITAL AND RELATED FINANCING</t>
  </si>
  <si>
    <t>ACTIVITIES</t>
  </si>
  <si>
    <t>State capital aid received</t>
  </si>
  <si>
    <t>Change in due from primary government: DCC certification - capital</t>
  </si>
  <si>
    <t>County capital aid received</t>
  </si>
  <si>
    <t>Change in intergovernmental receivable - county capital appropriation</t>
  </si>
  <si>
    <t>Capital contributions, net</t>
  </si>
  <si>
    <t>Capital grants received</t>
  </si>
  <si>
    <t>Change in intergovernmental receivable - capital</t>
  </si>
  <si>
    <t>Change in private grantors receivable - capital</t>
  </si>
  <si>
    <t>Change in due from State of NC component units - capital</t>
  </si>
  <si>
    <t>Change in intergovernmental payable - capital</t>
  </si>
  <si>
    <t>Change in private grantors payable - capital</t>
  </si>
  <si>
    <t>Change in unearned revenues - capital grants</t>
  </si>
  <si>
    <t>Capital gifts received</t>
  </si>
  <si>
    <t>Capital assets - increases: donations at fair value</t>
  </si>
  <si>
    <t>Accumulated depreciation - increases: donations at fair value</t>
  </si>
  <si>
    <t>Extraordinary items - capital gift revenues</t>
  </si>
  <si>
    <t>Change in pledges receivable - capital</t>
  </si>
  <si>
    <t>Change in due from College component units - capital</t>
  </si>
  <si>
    <t>Change in unearned revenues - capital gifts</t>
  </si>
  <si>
    <t>Proceeds from capital debt</t>
  </si>
  <si>
    <t>Proceeds from insurance on capital assets</t>
  </si>
  <si>
    <t>Acquisition and construction of capital assets</t>
  </si>
  <si>
    <t>Capital assets - increases: acquisitions purchased/constructed</t>
  </si>
  <si>
    <t xml:space="preserve">Upfront payments - Right to Use Leased Assets   </t>
  </si>
  <si>
    <t xml:space="preserve">Upfront payments - Subscription (SBITA) Assets   </t>
  </si>
  <si>
    <t>C-11</t>
  </si>
  <si>
    <t xml:space="preserve">Change in accounts payable - capital assets </t>
  </si>
  <si>
    <t>Change in contracts payable</t>
  </si>
  <si>
    <t>Principal paid on capital debt and leases</t>
  </si>
  <si>
    <t>Notes from Direct Borrowings</t>
  </si>
  <si>
    <t>D_2A</t>
  </si>
  <si>
    <t xml:space="preserve">Lease liability - reductions </t>
  </si>
  <si>
    <t xml:space="preserve">Subscription (SBITA) liability - reductions  </t>
  </si>
  <si>
    <t xml:space="preserve">Proceeds from Lease arrangements  </t>
  </si>
  <si>
    <t>Increase in lease deferred inflows due to upfront payments received</t>
  </si>
  <si>
    <t>Current year lease principal received</t>
  </si>
  <si>
    <t xml:space="preserve">Proceeds from PPP arrangements  </t>
  </si>
  <si>
    <t>Increase in PPP deferred inflows due to upfront payments received</t>
  </si>
  <si>
    <t xml:space="preserve">Total proceeds from lease arrangements to Exh G </t>
  </si>
  <si>
    <t>Interest paid on capital debt and leases</t>
  </si>
  <si>
    <t>Capital assets - increases: interest expense capitalized</t>
  </si>
  <si>
    <t>Change in interest payable</t>
  </si>
  <si>
    <t>CASH FLOWS FROM INVESTING ACTIVITIES</t>
  </si>
  <si>
    <t>Proceeds from sales and maturities of investments</t>
  </si>
  <si>
    <t>Investment income</t>
  </si>
  <si>
    <t>Capital assets - increases: interest income capitalized</t>
  </si>
  <si>
    <t>Change in interest receivable - investments</t>
  </si>
  <si>
    <t>Purchase of investments and related fees</t>
  </si>
  <si>
    <t>Investment expenses (Note: assume no related payables)</t>
  </si>
  <si>
    <t>Error Check</t>
  </si>
  <si>
    <t xml:space="preserve">Total inflows less total outflows equals change in cash and </t>
  </si>
  <si>
    <t>cash equivalents on balance sheet</t>
  </si>
  <si>
    <t>Always show revenues as inflows and expenses as outflows.</t>
  </si>
  <si>
    <t xml:space="preserve">Use the table below to determine if account changes are inflows or </t>
  </si>
  <si>
    <t>outflows:</t>
  </si>
  <si>
    <t>Account Type</t>
  </si>
  <si>
    <t>Inflow</t>
  </si>
  <si>
    <t>Outflow</t>
  </si>
  <si>
    <t>Change in current assets</t>
  </si>
  <si>
    <t>Decrease</t>
  </si>
  <si>
    <t>Increase</t>
  </si>
  <si>
    <t>Change in current liabilities</t>
  </si>
  <si>
    <t>Change in fair value of investments</t>
  </si>
  <si>
    <t>Note receivable: change in allowance for doubtful accounts</t>
  </si>
  <si>
    <t>Increase in donated capital assets/investments</t>
  </si>
  <si>
    <t>N/A</t>
  </si>
  <si>
    <t>Statement of Cash Flows</t>
  </si>
  <si>
    <t>Net cash used by operating activities</t>
  </si>
  <si>
    <t xml:space="preserve">State aid </t>
  </si>
  <si>
    <t>State aid - Coronavirus</t>
  </si>
  <si>
    <t>Noncapital contributions and endowments</t>
  </si>
  <si>
    <t>HIDE</t>
  </si>
  <si>
    <t>Noncapital gifts and endowments received: Combine with line 26</t>
  </si>
  <si>
    <t>Net cash provided by noncapital financing activities</t>
  </si>
  <si>
    <t>Capital Contributions</t>
  </si>
  <si>
    <t xml:space="preserve">Proceeds from lease arrangements    </t>
  </si>
  <si>
    <t xml:space="preserve">Proceeds from PPP arrangements   </t>
  </si>
  <si>
    <t>Net cash provided (used) by capital and related financing activities</t>
  </si>
  <si>
    <t>Net cash provided (used) by investing activities</t>
  </si>
  <si>
    <t>Net increase (decrease) in cash and cash equivalents</t>
  </si>
  <si>
    <t>Cash and cash equivalents, July 1</t>
  </si>
  <si>
    <t>Cash and cash equivalents, June 30</t>
  </si>
  <si>
    <t>Exhibit G, cont.</t>
  </si>
  <si>
    <t xml:space="preserve">Reconciliation of operating loss to net cash used </t>
  </si>
  <si>
    <t xml:space="preserve">  by operating activities:</t>
  </si>
  <si>
    <t>Adjustments to reconcile operating loss to net cash</t>
  </si>
  <si>
    <t xml:space="preserve">  used by operating activities: </t>
  </si>
  <si>
    <t>Note 1</t>
  </si>
  <si>
    <t>Depreciation/amortization expense</t>
  </si>
  <si>
    <r>
      <t>Lease revenue (amortized deferred inflow for leases)</t>
    </r>
    <r>
      <rPr>
        <sz val="10"/>
        <color indexed="10"/>
        <rFont val="Arial"/>
        <family val="2"/>
      </rPr>
      <t xml:space="preserve">  </t>
    </r>
  </si>
  <si>
    <t xml:space="preserve">PPP revenue (amortized deferred inflow for PPP) </t>
  </si>
  <si>
    <t>Provision for uncollectible loans and write-offs</t>
  </si>
  <si>
    <t>Note 2</t>
  </si>
  <si>
    <t>Miscellaneous nonoperating income (expense)</t>
  </si>
  <si>
    <t>Changes in assets, deferred outflows of resources, liabilities, and</t>
  </si>
  <si>
    <t>deferred inflows of resources:</t>
  </si>
  <si>
    <t xml:space="preserve">Note 3 </t>
  </si>
  <si>
    <t>Net Beneficial interest in assets held by others</t>
  </si>
  <si>
    <t>ExhA</t>
  </si>
  <si>
    <t xml:space="preserve">Note 4 </t>
  </si>
  <si>
    <t>Deferred outflows for asset retirement obligations</t>
  </si>
  <si>
    <t>Note 5</t>
  </si>
  <si>
    <t>Note 6</t>
  </si>
  <si>
    <t>ExhD,E-72</t>
  </si>
  <si>
    <t>Asset retirement obligation liability</t>
  </si>
  <si>
    <t xml:space="preserve">  Total adjustments</t>
  </si>
  <si>
    <t>Noncash investing, capital, and financing activities:</t>
  </si>
  <si>
    <t>Note 7</t>
  </si>
  <si>
    <t>Assets acquired through assumption of a liability</t>
  </si>
  <si>
    <t>Note 8</t>
  </si>
  <si>
    <t>Assets acquired through a gift</t>
  </si>
  <si>
    <t>Note 9</t>
  </si>
  <si>
    <t>Increase in note receivable related to sale of capital assets</t>
  </si>
  <si>
    <t>Increase in receivables related to nonoperating income</t>
  </si>
  <si>
    <t>Note 10</t>
  </si>
  <si>
    <r>
      <t xml:space="preserve">Gain/loss on disposal of capital assets </t>
    </r>
    <r>
      <rPr>
        <sz val="10"/>
        <rFont val="Arial Narrow"/>
        <family val="2"/>
      </rPr>
      <t>(adjust caption to indicate either gain or loss)</t>
    </r>
  </si>
  <si>
    <t>Note 11</t>
  </si>
  <si>
    <t xml:space="preserve">Decrease in net OPEB liability due to noncapital contributions </t>
  </si>
  <si>
    <t>Notes - Reconciliation Section</t>
  </si>
  <si>
    <t>Each statement caption should be analyzed to determine which asset and liability accounts</t>
  </si>
  <si>
    <t>impact accrued operating revenues and expenses.  You only need to calculate the changes</t>
  </si>
  <si>
    <t>in accounts that impact operating revenues and expenses.  Examples of assets not impacting</t>
  </si>
  <si>
    <t>operating revenues include pledges receivable (gifts considered nonoperating revenues),</t>
  </si>
  <si>
    <t xml:space="preserve">intergovernmental receivables related to nonexchange transactions (related to nonoperating </t>
  </si>
  <si>
    <t xml:space="preserve">revenues), interest receivable (investment income considered nonoperating revenues), and due </t>
  </si>
  <si>
    <t xml:space="preserve">from primary government and due from component unit related to nonexchange transactions </t>
  </si>
  <si>
    <t xml:space="preserve">(related to nonoperating revenues).  Examples of liabilities not impacting operating expenses </t>
  </si>
  <si>
    <t xml:space="preserve">include accounts payable associated with construction in progress (CIP is capitalized - not </t>
  </si>
  <si>
    <t xml:space="preserve">expensed) and interest payable (interest expense is nonoperating).  Also, you should analyze </t>
  </si>
  <si>
    <t xml:space="preserve">statement captions to determine which asset and liability accounts impact cash flows </t>
  </si>
  <si>
    <t xml:space="preserve">from operating activities but not operating revenues and expenses (e.g., inventories, prepaid </t>
  </si>
  <si>
    <t>items, deferred revenues, and funds held for others).</t>
  </si>
  <si>
    <t>Notes receivable, net - change in allowance for doubtful accounts</t>
  </si>
  <si>
    <t xml:space="preserve">Notes receivable, net - loans written off </t>
  </si>
  <si>
    <t xml:space="preserve">     Total</t>
  </si>
  <si>
    <t xml:space="preserve">Receivables, net </t>
  </si>
  <si>
    <t>(Note: enter an increase as a negative number)</t>
  </si>
  <si>
    <t>(Increase) decrease in accounts receivable - tuition and fees, net</t>
  </si>
  <si>
    <t>(Increase) decrease in accounts receivable - sales and services/other operating, net</t>
  </si>
  <si>
    <t>(Increase) decrease in accounts receivable - students (financial aid, etc.)</t>
  </si>
  <si>
    <t>(Increase) decrease in accounts receivable - nonoperating</t>
  </si>
  <si>
    <t>(Increase) decrease in accounts receivable - travel advances</t>
  </si>
  <si>
    <t>(Increase) decrease in private grantors receivable - operating</t>
  </si>
  <si>
    <t>(Increase) decrease in interest receivable - loans</t>
  </si>
  <si>
    <t>Notes receivables, net</t>
  </si>
  <si>
    <t>(Note: enter loans issued to students as a negative number)</t>
  </si>
  <si>
    <t>Loans issued to students (enter as a negative number)</t>
  </si>
  <si>
    <t>Collection of loans to students (enter as a positive number)</t>
  </si>
  <si>
    <t>(Note: enter a decrease as a negative number)</t>
  </si>
  <si>
    <t>Increase (decrease) in accounts payable - operating goods and services</t>
  </si>
  <si>
    <t>Increase (decrease) in accrued payroll</t>
  </si>
  <si>
    <t>Unearned revenues</t>
  </si>
  <si>
    <t>Increase (decrease) in unearned revenues - student tuition and fees</t>
  </si>
  <si>
    <t>E30</t>
  </si>
  <si>
    <t>Increase (decrease) in unearned revenues - operating grants/contracts</t>
  </si>
  <si>
    <t>E31</t>
  </si>
  <si>
    <t>Notes - Noncash Section</t>
  </si>
  <si>
    <t xml:space="preserve">Paragraph 37 of GASB Statement No. 9 requires that changes in assets and liabilities </t>
  </si>
  <si>
    <t>reported on the balance sheet resulting from noncash investing, capital, or financing activities</t>
  </si>
  <si>
    <t xml:space="preserve">be disclosed.  Either a tabular or a narrative format may be used for this purpose, but the </t>
  </si>
  <si>
    <t xml:space="preserve">disclosure must be physically attached to the statement of cash flows itself, rather than </t>
  </si>
  <si>
    <t>presented in the notes to the financial statements.  According to the Q/A to Statement No. 9,</t>
  </si>
  <si>
    <t>noncash transactions should only be reported if they would have been classified in any one of</t>
  </si>
  <si>
    <t xml:space="preserve">the following categories had they been cash transactions: (a) cash flows from noncapital </t>
  </si>
  <si>
    <t>financing activities, (b) cash flows from capital and related financing activities, or (c) cash</t>
  </si>
  <si>
    <r>
      <t xml:space="preserve">flows from investing activities </t>
    </r>
    <r>
      <rPr>
        <i/>
        <sz val="10"/>
        <rFont val="Arial"/>
        <family val="2"/>
      </rPr>
      <t>(Source: GFOA GAAFR Review, November 1995)</t>
    </r>
    <r>
      <rPr>
        <sz val="10"/>
        <rFont val="Arial"/>
        <family val="2"/>
      </rPr>
      <t>.</t>
    </r>
  </si>
  <si>
    <t>Noncash section - assets acquired through the assumption of a liability</t>
  </si>
  <si>
    <t>Accounts payable at 6/30 - capital assets (capitalized on Exhibit A)</t>
  </si>
  <si>
    <t>Contracts payable at 6/30</t>
  </si>
  <si>
    <t>Increase in Notes from direct borrowings</t>
  </si>
  <si>
    <t xml:space="preserve">Increase in lease liability </t>
  </si>
  <si>
    <t xml:space="preserve">Increase in subscription (SBITA) liability </t>
  </si>
  <si>
    <t>D-9</t>
  </si>
  <si>
    <t>Noncash section - assets acquired through a gift</t>
  </si>
  <si>
    <t>Capital assets - increases: special item - donations at fair value</t>
  </si>
  <si>
    <t>Noncash section - increase in receivables related to nonoperating income</t>
  </si>
  <si>
    <t>Increase in intergovernmental receivable</t>
  </si>
  <si>
    <t>E-6, E-7, E-8, E58</t>
  </si>
  <si>
    <t>Increase in private grantors receivable</t>
  </si>
  <si>
    <t>E-10, E-11</t>
  </si>
  <si>
    <t>Increase in pledges receivable</t>
  </si>
  <si>
    <t>E-12, E-13</t>
  </si>
  <si>
    <t>Increase in interest receivable - investments</t>
  </si>
  <si>
    <r>
      <t xml:space="preserve">Increase in lease receivable  </t>
    </r>
    <r>
      <rPr>
        <sz val="10"/>
        <color indexed="10"/>
        <rFont val="Arial"/>
        <family val="2"/>
      </rPr>
      <t xml:space="preserve"> </t>
    </r>
  </si>
  <si>
    <t xml:space="preserve">Increase in PPP Asset receivable </t>
  </si>
  <si>
    <t>Increase in due from primary government</t>
  </si>
  <si>
    <t>E-16,17,18</t>
  </si>
  <si>
    <t>Increase in due from State of NC component units</t>
  </si>
  <si>
    <t>E-19, E-20</t>
  </si>
  <si>
    <t>Increase in due from Community College component units</t>
  </si>
  <si>
    <t>E-20a, E20b</t>
  </si>
  <si>
    <t>Noncash section - gain/loss on disposal of capital assets</t>
  </si>
  <si>
    <t>Gain (loss) on sale of capital assets (exclude special items)</t>
  </si>
  <si>
    <t>(Loss) on write-offs of capital assets</t>
  </si>
  <si>
    <t>Notes - Other</t>
  </si>
  <si>
    <t>In this illustration, agency transactions related to direct lending are classified at gross in the</t>
  </si>
  <si>
    <t>noncapital financing section, and all other agency transactions are shown net on a single</t>
  </si>
  <si>
    <t xml:space="preserve">line in the operating activities section (i.e., "Other receipts (payments)").  If other agency </t>
  </si>
  <si>
    <t>transactions become material, they will need to be reported at gross on separate lines.</t>
  </si>
  <si>
    <t xml:space="preserve"> Error Checks</t>
  </si>
  <si>
    <t>Net increase in cash and cash equivalents agrees with change on</t>
  </si>
  <si>
    <t>balance sheet</t>
  </si>
  <si>
    <t xml:space="preserve">Beginning cash and cash equivalents per cash flow statement agrees </t>
  </si>
  <si>
    <t>with the balance sheet</t>
  </si>
  <si>
    <t>Ending cash and cash equivalents per cash flow statement agrees</t>
  </si>
  <si>
    <t>Net cash used by operating activities equals corresponding amount on</t>
  </si>
  <si>
    <t>reconciliation section</t>
  </si>
  <si>
    <t>Operating loss on reconciliation agrees with Exhibit B</t>
  </si>
  <si>
    <t>Depreciation expense on reconciliation agrees with Exhibit B</t>
  </si>
  <si>
    <t>Cash Flow Updates made after April  30, 2025</t>
  </si>
  <si>
    <t>June 30, 2025 and 2024</t>
  </si>
  <si>
    <t>Decrease in lease deferred inflows related to lease receivable write-offs (noncash)</t>
  </si>
  <si>
    <t>B-31 was previous all cash but will now possibly include a noncash portion as well</t>
  </si>
  <si>
    <t>Lease revenue - amortization of lease deferred inflows (non cash)</t>
  </si>
  <si>
    <t>E-80 sb negative</t>
  </si>
  <si>
    <t>For the Fiscal Year Ended June 30, 2025</t>
  </si>
  <si>
    <t>Analysis of Receivables, Payables, and Other Items - FY Ended June 30, 2025</t>
  </si>
  <si>
    <t>Cash Flow Worksheet - FY Ended June 30, 2025</t>
  </si>
  <si>
    <t>Lease Liability Reductions</t>
  </si>
  <si>
    <t>SBITA Liability Reductions</t>
  </si>
  <si>
    <t>Lease liability reductions - cash (default)</t>
  </si>
  <si>
    <t>D-12</t>
  </si>
  <si>
    <t>SBITA liability reductions - cash (default)</t>
  </si>
  <si>
    <t>D-13</t>
  </si>
  <si>
    <t>Lease liability reductions - noncash terminations (manual adjustment)</t>
  </si>
  <si>
    <t>SBITA liability reductions - noncash (terminations) manual</t>
  </si>
  <si>
    <t xml:space="preserve">Total Lease liability reductions </t>
  </si>
  <si>
    <t>Total SBITA liability reductions</t>
  </si>
  <si>
    <t>D_12</t>
  </si>
  <si>
    <t>D_14</t>
  </si>
  <si>
    <t>D_13</t>
  </si>
  <si>
    <t>D_15</t>
  </si>
  <si>
    <t>D_14, D_15</t>
  </si>
  <si>
    <t xml:space="preserve">Lease revenue </t>
  </si>
  <si>
    <r>
      <t>Lease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revenue (will include interest revenue and amortization)</t>
    </r>
  </si>
  <si>
    <t>Lease and SBITA Terminations</t>
  </si>
  <si>
    <t>TSERS allocations (expense/income amounts per 13th period entry):</t>
  </si>
  <si>
    <t>Exh E</t>
  </si>
  <si>
    <t xml:space="preserve">  </t>
  </si>
  <si>
    <t>Updated header on TSERs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</si>
</sst>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\(#,##0\);&quot;-       &quot;"/>
    <numFmt numFmtId="165" formatCode="mm/dd/yy;@"/>
    <numFmt numFmtId="166" formatCode="#,##0.00_);\(#,##0.00\);\—\ \ \ \ \ \ "/>
  </numFmts>
  <fonts count="6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u/>
      <sz val="9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i/>
      <u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b/>
      <sz val="8"/>
      <color indexed="12"/>
      <name val="Arial Narrow"/>
      <family val="2"/>
    </font>
    <font>
      <sz val="9"/>
      <name val="Arial Narrow"/>
      <family val="2"/>
    </font>
    <font>
      <vertAlign val="superscript"/>
      <sz val="11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Gray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/>
  </cellStyleXfs>
  <cellXfs count="1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" fontId="2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0" fillId="0" borderId="0" xfId="0" quotePrefix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3" fontId="2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43" fontId="0" fillId="0" borderId="0" xfId="0" applyNumberFormat="1"/>
    <xf numFmtId="43" fontId="0" fillId="0" borderId="2" xfId="0" applyNumberFormat="1" applyBorder="1"/>
    <xf numFmtId="43" fontId="0" fillId="0" borderId="3" xfId="0" applyNumberFormat="1" applyBorder="1"/>
    <xf numFmtId="44" fontId="0" fillId="0" borderId="0" xfId="0" applyNumberFormat="1"/>
    <xf numFmtId="44" fontId="0" fillId="0" borderId="4" xfId="0" applyNumberFormat="1" applyBorder="1"/>
    <xf numFmtId="43" fontId="2" fillId="0" borderId="0" xfId="0" applyNumberFormat="1" applyFont="1"/>
    <xf numFmtId="43" fontId="2" fillId="0" borderId="2" xfId="0" applyNumberFormat="1" applyFont="1" applyBorder="1"/>
    <xf numFmtId="43" fontId="2" fillId="0" borderId="3" xfId="0" applyNumberFormat="1" applyFont="1" applyBorder="1"/>
    <xf numFmtId="44" fontId="2" fillId="0" borderId="0" xfId="0" applyNumberFormat="1" applyFont="1"/>
    <xf numFmtId="44" fontId="2" fillId="0" borderId="5" xfId="0" applyNumberFormat="1" applyFont="1" applyBorder="1"/>
    <xf numFmtId="44" fontId="0" fillId="0" borderId="5" xfId="0" applyNumberFormat="1" applyBorder="1"/>
    <xf numFmtId="0" fontId="12" fillId="0" borderId="0" xfId="0" applyFont="1" applyAlignment="1">
      <alignment horizontal="left"/>
    </xf>
    <xf numFmtId="0" fontId="17" fillId="0" borderId="0" xfId="0" applyFont="1"/>
    <xf numFmtId="0" fontId="12" fillId="0" borderId="1" xfId="0" applyFont="1" applyBorder="1"/>
    <xf numFmtId="41" fontId="0" fillId="0" borderId="0" xfId="0" applyNumberFormat="1"/>
    <xf numFmtId="42" fontId="0" fillId="0" borderId="0" xfId="0" applyNumberFormat="1"/>
    <xf numFmtId="0" fontId="18" fillId="0" borderId="0" xfId="0" applyFont="1" applyAlignment="1">
      <alignment horizontal="center"/>
    </xf>
    <xf numFmtId="43" fontId="19" fillId="0" borderId="0" xfId="0" applyNumberFormat="1" applyFont="1" applyAlignment="1">
      <alignment horizontal="center"/>
    </xf>
    <xf numFmtId="0" fontId="14" fillId="0" borderId="0" xfId="0" applyFont="1"/>
    <xf numFmtId="43" fontId="0" fillId="0" borderId="1" xfId="0" applyNumberFormat="1" applyBorder="1"/>
    <xf numFmtId="0" fontId="18" fillId="0" borderId="0" xfId="0" applyFont="1"/>
    <xf numFmtId="0" fontId="13" fillId="0" borderId="0" xfId="0" applyFont="1"/>
    <xf numFmtId="41" fontId="2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/>
    </xf>
    <xf numFmtId="44" fontId="0" fillId="0" borderId="2" xfId="0" applyNumberFormat="1" applyBorder="1"/>
    <xf numFmtId="0" fontId="18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8" fillId="0" borderId="1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43" fontId="0" fillId="0" borderId="6" xfId="0" applyNumberFormat="1" applyBorder="1"/>
    <xf numFmtId="0" fontId="18" fillId="0" borderId="6" xfId="0" applyFont="1" applyBorder="1" applyAlignment="1">
      <alignment horizontal="left"/>
    </xf>
    <xf numFmtId="43" fontId="20" fillId="0" borderId="0" xfId="0" applyNumberFormat="1" applyFont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0" fontId="17" fillId="0" borderId="0" xfId="0" applyFont="1" applyAlignment="1">
      <alignment horizontal="center"/>
    </xf>
    <xf numFmtId="43" fontId="17" fillId="0" borderId="2" xfId="0" applyNumberFormat="1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41" fontId="23" fillId="0" borderId="0" xfId="0" applyNumberFormat="1" applyFont="1"/>
    <xf numFmtId="0" fontId="0" fillId="0" borderId="0" xfId="0" applyAlignment="1">
      <alignment horizontal="left"/>
    </xf>
    <xf numFmtId="0" fontId="25" fillId="0" borderId="0" xfId="0" applyFont="1" applyAlignment="1">
      <alignment horizontal="center"/>
    </xf>
    <xf numFmtId="44" fontId="19" fillId="0" borderId="0" xfId="0" applyNumberFormat="1" applyFont="1" applyAlignment="1">
      <alignment horizontal="center"/>
    </xf>
    <xf numFmtId="0" fontId="0" fillId="0" borderId="0" xfId="0" applyAlignment="1">
      <alignment horizontal="left" indent="2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5" xfId="0" quotePrefix="1" applyFont="1" applyBorder="1" applyAlignment="1">
      <alignment horizontal="left"/>
    </xf>
    <xf numFmtId="0" fontId="0" fillId="0" borderId="0" xfId="0" applyAlignment="1">
      <alignment horizontal="right"/>
    </xf>
    <xf numFmtId="0" fontId="26" fillId="0" borderId="0" xfId="0" applyFont="1" applyAlignment="1">
      <alignment horizontal="center"/>
    </xf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0" xfId="0" applyFont="1"/>
    <xf numFmtId="0" fontId="28" fillId="0" borderId="0" xfId="0" applyFont="1" applyAlignment="1">
      <alignment horizontal="center"/>
    </xf>
    <xf numFmtId="43" fontId="29" fillId="0" borderId="0" xfId="0" applyNumberFormat="1" applyFont="1" applyAlignment="1">
      <alignment horizontal="center"/>
    </xf>
    <xf numFmtId="0" fontId="30" fillId="0" borderId="0" xfId="0" applyFont="1"/>
    <xf numFmtId="0" fontId="32" fillId="2" borderId="0" xfId="0" applyFont="1" applyFill="1"/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34" fillId="0" borderId="2" xfId="0" applyFont="1" applyBorder="1" applyAlignment="1">
      <alignment horizontal="center"/>
    </xf>
    <xf numFmtId="0" fontId="27" fillId="0" borderId="0" xfId="0" applyFont="1"/>
    <xf numFmtId="0" fontId="1" fillId="0" borderId="0" xfId="0" applyFont="1" applyAlignment="1">
      <alignment horizontal="left"/>
    </xf>
    <xf numFmtId="0" fontId="0" fillId="0" borderId="2" xfId="0" applyBorder="1" applyProtection="1">
      <protection locked="0"/>
    </xf>
    <xf numFmtId="44" fontId="2" fillId="0" borderId="0" xfId="0" applyNumberFormat="1" applyFont="1" applyProtection="1">
      <protection locked="0"/>
    </xf>
    <xf numFmtId="43" fontId="2" fillId="0" borderId="0" xfId="0" applyNumberFormat="1" applyFont="1" applyProtection="1">
      <protection locked="0"/>
    </xf>
    <xf numFmtId="43" fontId="2" fillId="0" borderId="2" xfId="0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3" fontId="0" fillId="0" borderId="2" xfId="0" applyNumberFormat="1" applyBorder="1" applyProtection="1">
      <protection locked="0"/>
    </xf>
    <xf numFmtId="44" fontId="36" fillId="0" borderId="0" xfId="0" applyNumberFormat="1" applyFont="1" applyAlignment="1">
      <alignment horizontal="center"/>
    </xf>
    <xf numFmtId="43" fontId="36" fillId="0" borderId="0" xfId="0" applyNumberFormat="1" applyFont="1" applyAlignment="1">
      <alignment horizontal="center"/>
    </xf>
    <xf numFmtId="0" fontId="36" fillId="0" borderId="0" xfId="0" applyFont="1"/>
    <xf numFmtId="0" fontId="22" fillId="0" borderId="0" xfId="0" applyFont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40" fillId="0" borderId="0" xfId="0" applyFont="1"/>
    <xf numFmtId="0" fontId="38" fillId="0" borderId="0" xfId="0" applyFont="1"/>
    <xf numFmtId="0" fontId="2" fillId="0" borderId="0" xfId="0" applyFont="1" applyAlignment="1">
      <alignment horizontal="left" indent="1"/>
    </xf>
    <xf numFmtId="0" fontId="21" fillId="0" borderId="0" xfId="0" applyFont="1"/>
    <xf numFmtId="0" fontId="42" fillId="0" borderId="0" xfId="0" applyFont="1"/>
    <xf numFmtId="43" fontId="0" fillId="0" borderId="3" xfId="0" applyNumberFormat="1" applyBorder="1" applyProtection="1">
      <protection locked="0"/>
    </xf>
    <xf numFmtId="0" fontId="46" fillId="0" borderId="0" xfId="0" applyFont="1" applyAlignment="1">
      <alignment horizontal="left"/>
    </xf>
    <xf numFmtId="0" fontId="46" fillId="0" borderId="0" xfId="0" applyFont="1"/>
    <xf numFmtId="165" fontId="46" fillId="0" borderId="0" xfId="0" applyNumberFormat="1" applyFont="1" applyAlignment="1">
      <alignment horizontal="center"/>
    </xf>
    <xf numFmtId="0" fontId="47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/>
    </xf>
    <xf numFmtId="14" fontId="0" fillId="0" borderId="0" xfId="0" applyNumberFormat="1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48" fillId="0" borderId="0" xfId="6" applyFont="1" applyProtection="1">
      <protection locked="0"/>
    </xf>
    <xf numFmtId="0" fontId="49" fillId="0" borderId="0" xfId="6" applyFont="1" applyProtection="1">
      <protection locked="0"/>
    </xf>
    <xf numFmtId="0" fontId="47" fillId="0" borderId="1" xfId="0" applyFont="1" applyBorder="1" applyAlignment="1" applyProtection="1">
      <alignment horizontal="center" wrapText="1"/>
      <protection locked="0"/>
    </xf>
    <xf numFmtId="14" fontId="20" fillId="0" borderId="0" xfId="0" applyNumberFormat="1" applyFont="1" applyAlignment="1">
      <alignment horizontal="right"/>
    </xf>
    <xf numFmtId="0" fontId="0" fillId="4" borderId="0" xfId="0" applyFill="1"/>
    <xf numFmtId="0" fontId="34" fillId="0" borderId="0" xfId="0" applyFont="1"/>
    <xf numFmtId="0" fontId="54" fillId="0" borderId="0" xfId="0" applyFont="1"/>
    <xf numFmtId="0" fontId="2" fillId="5" borderId="0" xfId="0" applyFont="1" applyFill="1"/>
    <xf numFmtId="0" fontId="0" fillId="5" borderId="0" xfId="0" applyFill="1"/>
    <xf numFmtId="43" fontId="0" fillId="5" borderId="0" xfId="0" applyNumberFormat="1" applyFill="1"/>
    <xf numFmtId="0" fontId="55" fillId="5" borderId="0" xfId="0" applyFont="1" applyFill="1"/>
    <xf numFmtId="43" fontId="0" fillId="5" borderId="2" xfId="0" applyNumberFormat="1" applyFill="1" applyBorder="1"/>
    <xf numFmtId="43" fontId="0" fillId="0" borderId="8" xfId="0" applyNumberFormat="1" applyBorder="1"/>
    <xf numFmtId="43" fontId="2" fillId="0" borderId="9" xfId="0" applyNumberFormat="1" applyFont="1" applyBorder="1"/>
    <xf numFmtId="43" fontId="0" fillId="0" borderId="7" xfId="0" applyNumberFormat="1" applyBorder="1"/>
    <xf numFmtId="43" fontId="56" fillId="0" borderId="0" xfId="0" applyNumberFormat="1" applyFont="1" applyAlignment="1">
      <alignment horizontal="left"/>
    </xf>
    <xf numFmtId="43" fontId="19" fillId="0" borderId="3" xfId="0" applyNumberFormat="1" applyFont="1" applyBorder="1" applyAlignment="1">
      <alignment horizontal="center"/>
    </xf>
    <xf numFmtId="43" fontId="19" fillId="0" borderId="7" xfId="0" applyNumberFormat="1" applyFont="1" applyBorder="1" applyAlignment="1">
      <alignment horizontal="center"/>
    </xf>
    <xf numFmtId="0" fontId="36" fillId="0" borderId="0" xfId="0" applyFont="1" applyAlignment="1">
      <alignment horizontal="left"/>
    </xf>
    <xf numFmtId="0" fontId="35" fillId="0" borderId="0" xfId="0" applyFont="1"/>
    <xf numFmtId="0" fontId="57" fillId="0" borderId="0" xfId="0" applyFont="1"/>
    <xf numFmtId="0" fontId="55" fillId="0" borderId="0" xfId="0" applyFont="1"/>
    <xf numFmtId="43" fontId="0" fillId="0" borderId="9" xfId="0" applyNumberFormat="1" applyBorder="1"/>
    <xf numFmtId="0" fontId="58" fillId="0" borderId="0" xfId="0" applyFont="1"/>
    <xf numFmtId="0" fontId="5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9" fillId="0" borderId="0" xfId="0" applyFont="1" applyAlignment="1">
      <alignment horizontal="right"/>
    </xf>
    <xf numFmtId="44" fontId="3" fillId="0" borderId="0" xfId="0" applyNumberFormat="1" applyFont="1" applyProtection="1">
      <protection locked="0"/>
    </xf>
    <xf numFmtId="44" fontId="3" fillId="0" borderId="0" xfId="0" applyNumberFormat="1" applyFont="1"/>
    <xf numFmtId="43" fontId="3" fillId="0" borderId="0" xfId="0" applyNumberFormat="1" applyFont="1" applyProtection="1">
      <protection locked="0"/>
    </xf>
    <xf numFmtId="43" fontId="3" fillId="0" borderId="0" xfId="0" applyNumberFormat="1" applyFont="1"/>
    <xf numFmtId="43" fontId="3" fillId="0" borderId="2" xfId="0" applyNumberFormat="1" applyFont="1" applyBorder="1" applyProtection="1">
      <protection locked="0"/>
    </xf>
    <xf numFmtId="43" fontId="3" fillId="0" borderId="3" xfId="0" applyNumberFormat="1" applyFont="1" applyBorder="1"/>
    <xf numFmtId="44" fontId="3" fillId="0" borderId="5" xfId="0" applyNumberFormat="1" applyFont="1" applyBorder="1"/>
    <xf numFmtId="43" fontId="3" fillId="0" borderId="2" xfId="0" applyNumberFormat="1" applyFont="1" applyBorder="1"/>
    <xf numFmtId="0" fontId="3" fillId="2" borderId="0" xfId="0" applyFont="1" applyFill="1"/>
    <xf numFmtId="43" fontId="3" fillId="2" borderId="0" xfId="0" applyNumberFormat="1" applyFont="1" applyFill="1"/>
    <xf numFmtId="43" fontId="3" fillId="2" borderId="4" xfId="0" applyNumberFormat="1" applyFont="1" applyFill="1" applyBorder="1"/>
    <xf numFmtId="44" fontId="3" fillId="3" borderId="0" xfId="0" applyNumberFormat="1" applyFont="1" applyFill="1" applyProtection="1">
      <protection locked="0"/>
    </xf>
    <xf numFmtId="43" fontId="18" fillId="0" borderId="0" xfId="0" applyNumberFormat="1" applyFont="1" applyAlignment="1">
      <alignment horizontal="center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44" fontId="3" fillId="0" borderId="4" xfId="0" applyNumberFormat="1" applyFont="1" applyBorder="1"/>
    <xf numFmtId="43" fontId="18" fillId="0" borderId="0" xfId="0" applyNumberFormat="1" applyFont="1" applyAlignment="1">
      <alignment horizontal="left"/>
    </xf>
    <xf numFmtId="0" fontId="35" fillId="0" borderId="0" xfId="0" applyFont="1" applyAlignment="1">
      <alignment wrapText="1"/>
    </xf>
    <xf numFmtId="0" fontId="34" fillId="6" borderId="10" xfId="0" applyFont="1" applyFill="1" applyBorder="1"/>
    <xf numFmtId="0" fontId="3" fillId="6" borderId="9" xfId="0" applyFont="1" applyFill="1" applyBorder="1"/>
    <xf numFmtId="43" fontId="29" fillId="6" borderId="9" xfId="0" applyNumberFormat="1" applyFont="1" applyFill="1" applyBorder="1" applyAlignment="1">
      <alignment horizontal="center"/>
    </xf>
    <xf numFmtId="0" fontId="3" fillId="6" borderId="11" xfId="0" applyFont="1" applyFill="1" applyBorder="1"/>
    <xf numFmtId="0" fontId="3" fillId="6" borderId="12" xfId="0" applyFont="1" applyFill="1" applyBorder="1"/>
    <xf numFmtId="0" fontId="3" fillId="6" borderId="0" xfId="0" applyFont="1" applyFill="1"/>
    <xf numFmtId="43" fontId="29" fillId="6" borderId="0" xfId="0" applyNumberFormat="1" applyFont="1" applyFill="1" applyAlignment="1">
      <alignment horizontal="center"/>
    </xf>
    <xf numFmtId="166" fontId="3" fillId="6" borderId="13" xfId="0" applyNumberFormat="1" applyFont="1" applyFill="1" applyBorder="1"/>
    <xf numFmtId="39" fontId="3" fillId="6" borderId="14" xfId="0" applyNumberFormat="1" applyFont="1" applyFill="1" applyBorder="1" applyProtection="1">
      <protection locked="0"/>
    </xf>
    <xf numFmtId="39" fontId="3" fillId="6" borderId="15" xfId="0" applyNumberFormat="1" applyFont="1" applyFill="1" applyBorder="1"/>
    <xf numFmtId="0" fontId="3" fillId="6" borderId="16" xfId="0" applyFont="1" applyFill="1" applyBorder="1"/>
    <xf numFmtId="0" fontId="3" fillId="6" borderId="1" xfId="0" applyFont="1" applyFill="1" applyBorder="1"/>
    <xf numFmtId="0" fontId="3" fillId="6" borderId="17" xfId="0" applyFont="1" applyFill="1" applyBorder="1"/>
    <xf numFmtId="0" fontId="54" fillId="4" borderId="0" xfId="0" applyFont="1" applyFill="1"/>
    <xf numFmtId="0" fontId="55" fillId="4" borderId="0" xfId="0" applyFont="1" applyFill="1"/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4" fillId="0" borderId="0" xfId="6" applyFont="1" applyAlignment="1">
      <alignment horizontal="center"/>
    </xf>
    <xf numFmtId="164" fontId="45" fillId="0" borderId="0" xfId="5" applyNumberFormat="1" applyFont="1" applyBorder="1" applyAlignment="1" applyProtection="1">
      <alignment horizontal="center"/>
    </xf>
    <xf numFmtId="0" fontId="47" fillId="0" borderId="2" xfId="0" applyFont="1" applyBorder="1" applyAlignment="1" applyProtection="1">
      <alignment horizontal="center"/>
      <protection locked="0"/>
    </xf>
    <xf numFmtId="0" fontId="2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33" fillId="0" borderId="0" xfId="0" applyFont="1" applyAlignment="1">
      <alignment horizontal="center"/>
    </xf>
    <xf numFmtId="43" fontId="39" fillId="0" borderId="0" xfId="0" applyNumberFormat="1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right"/>
    </xf>
  </cellXfs>
  <cellStyles count="7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Hyperlink" xfId="5" builtinId="8"/>
    <cellStyle name="Normal" xfId="0" builtinId="0"/>
    <cellStyle name="Normal_UnivExcl" xfId="6" xr:uid="{00000000-0005-0000-0000-000006000000}"/>
  </cellStyles>
  <dxfs count="18"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u val="none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5</xdr:row>
      <xdr:rowOff>190500</xdr:rowOff>
    </xdr:from>
    <xdr:to>
      <xdr:col>3</xdr:col>
      <xdr:colOff>1762125</xdr:colOff>
      <xdr:row>5</xdr:row>
      <xdr:rowOff>190500</xdr:rowOff>
    </xdr:to>
    <xdr:sp macro="" textlink="">
      <xdr:nvSpPr>
        <xdr:cNvPr id="1775" name="Line 5">
          <a:extLst>
            <a:ext uri="{FF2B5EF4-FFF2-40B4-BE49-F238E27FC236}">
              <a16:creationId xmlns:a16="http://schemas.microsoft.com/office/drawing/2014/main" id="{A0EBDB6C-F9F5-3BA7-FFF7-86B4E684A195}"/>
            </a:ext>
          </a:extLst>
        </xdr:cNvPr>
        <xdr:cNvSpPr>
          <a:spLocks noChangeShapeType="1"/>
        </xdr:cNvSpPr>
      </xdr:nvSpPr>
      <xdr:spPr bwMode="auto">
        <a:xfrm>
          <a:off x="2066925" y="10572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2"/>
  <sheetViews>
    <sheetView showGridLines="0" tabSelected="1" zoomScaleNormal="100" workbookViewId="0">
      <selection activeCell="A27" sqref="A27"/>
    </sheetView>
  </sheetViews>
  <sheetFormatPr defaultRowHeight="12.75" x14ac:dyDescent="0.2"/>
  <cols>
    <col min="1" max="1" width="106.28515625" customWidth="1"/>
    <col min="2" max="2" width="4.7109375" customWidth="1"/>
  </cols>
  <sheetData>
    <row r="1" spans="1:8" ht="12.75" customHeight="1" x14ac:dyDescent="0.2">
      <c r="A1" s="1"/>
    </row>
    <row r="2" spans="1:8" ht="15.75" customHeight="1" x14ac:dyDescent="0.25">
      <c r="A2" s="6" t="s">
        <v>0</v>
      </c>
    </row>
    <row r="3" spans="1:8" ht="15.75" x14ac:dyDescent="0.25">
      <c r="A3" s="6" t="s">
        <v>1</v>
      </c>
    </row>
    <row r="4" spans="1:8" ht="15.75" customHeight="1" x14ac:dyDescent="0.25">
      <c r="A4" s="6" t="s">
        <v>2</v>
      </c>
    </row>
    <row r="5" spans="1:8" ht="20.25" customHeight="1" x14ac:dyDescent="0.2">
      <c r="A5" s="2"/>
    </row>
    <row r="6" spans="1:8" ht="12.75" customHeight="1" x14ac:dyDescent="0.2">
      <c r="A6" s="2" t="s">
        <v>3</v>
      </c>
      <c r="B6" s="5"/>
      <c r="C6" s="5"/>
      <c r="D6" s="5"/>
      <c r="E6" s="5"/>
      <c r="F6" s="5"/>
      <c r="G6" s="5"/>
      <c r="H6" s="5"/>
    </row>
    <row r="7" spans="1:8" ht="12.75" customHeight="1" x14ac:dyDescent="0.2">
      <c r="A7" s="66" t="s">
        <v>4</v>
      </c>
      <c r="B7" s="5"/>
      <c r="C7" s="5"/>
      <c r="D7" s="5"/>
      <c r="E7" s="5"/>
      <c r="F7" s="5"/>
      <c r="G7" s="5"/>
      <c r="H7" s="5"/>
    </row>
    <row r="8" spans="1:8" s="5" customFormat="1" ht="12.75" customHeight="1" x14ac:dyDescent="0.2">
      <c r="A8" s="2" t="s">
        <v>5</v>
      </c>
    </row>
    <row r="9" spans="1:8" s="5" customFormat="1" ht="12.75" customHeight="1" x14ac:dyDescent="0.2">
      <c r="A9" s="2" t="s">
        <v>6</v>
      </c>
    </row>
    <row r="10" spans="1:8" ht="12.75" customHeight="1" x14ac:dyDescent="0.2">
      <c r="A10" s="2"/>
      <c r="B10" s="5"/>
      <c r="C10" s="5"/>
      <c r="D10" s="5"/>
      <c r="E10" s="5"/>
      <c r="F10" s="5"/>
      <c r="G10" s="5"/>
      <c r="H10" s="5"/>
    </row>
    <row r="11" spans="1:8" ht="12.75" customHeight="1" x14ac:dyDescent="0.2">
      <c r="A11" s="2" t="s">
        <v>7</v>
      </c>
      <c r="B11" s="5"/>
      <c r="C11" s="5"/>
      <c r="D11" s="5"/>
      <c r="E11" s="5"/>
      <c r="F11" s="5"/>
      <c r="G11" s="5"/>
      <c r="H11" s="5"/>
    </row>
    <row r="12" spans="1:8" ht="12.75" customHeight="1" x14ac:dyDescent="0.2">
      <c r="A12" s="2" t="s">
        <v>8</v>
      </c>
      <c r="B12" s="5"/>
      <c r="C12" s="5"/>
      <c r="D12" s="5"/>
      <c r="E12" s="5"/>
      <c r="F12" s="5"/>
      <c r="G12" s="5"/>
      <c r="H12" s="5"/>
    </row>
    <row r="13" spans="1:8" ht="12.75" customHeight="1" x14ac:dyDescent="0.2">
      <c r="A13" s="2" t="s">
        <v>9</v>
      </c>
    </row>
    <row r="14" spans="1:8" ht="12.75" customHeight="1" x14ac:dyDescent="0.2">
      <c r="A14" s="61" t="s">
        <v>10</v>
      </c>
    </row>
    <row r="16" spans="1:8" x14ac:dyDescent="0.2">
      <c r="A16" s="59" t="s">
        <v>11</v>
      </c>
    </row>
    <row r="17" spans="1:1" x14ac:dyDescent="0.2">
      <c r="A17" s="2" t="s">
        <v>12</v>
      </c>
    </row>
    <row r="18" spans="1:1" x14ac:dyDescent="0.2">
      <c r="A18" s="22" t="s">
        <v>13</v>
      </c>
    </row>
    <row r="19" spans="1:1" x14ac:dyDescent="0.2">
      <c r="A19" s="22" t="s">
        <v>14</v>
      </c>
    </row>
    <row r="20" spans="1:1" x14ac:dyDescent="0.2">
      <c r="A20" s="22" t="s">
        <v>15</v>
      </c>
    </row>
    <row r="21" spans="1:1" x14ac:dyDescent="0.2">
      <c r="A21" s="72"/>
    </row>
    <row r="22" spans="1:1" x14ac:dyDescent="0.2">
      <c r="A22" s="119"/>
    </row>
  </sheetData>
  <sheetProtection algorithmName="SHA-512" hashValue="swgIoRsLkroeCbrzuB/zlS0+P5i7hVz13MLV+sa5CXIGPJ70UbvuvxPUkOqi+mhWRfro6AsLEK/ROKCsTYKlNw==" saltValue="+YIx32RKLrHsf9mDi8mJJw==" spinCount="100000" sheet="1" autoFilter="0"/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S253"/>
  <sheetViews>
    <sheetView topLeftCell="A94" zoomScaleNormal="100" workbookViewId="0">
      <selection activeCell="E114" sqref="E114"/>
    </sheetView>
  </sheetViews>
  <sheetFormatPr defaultRowHeight="12.75" x14ac:dyDescent="0.2"/>
  <cols>
    <col min="1" max="3" width="2.7109375" customWidth="1"/>
    <col min="4" max="4" width="60.7109375" customWidth="1"/>
    <col min="5" max="5" width="16.28515625" customWidth="1"/>
    <col min="6" max="6" width="6.28515625" customWidth="1"/>
    <col min="7" max="7" width="3.7109375" style="38" customWidth="1"/>
    <col min="8" max="8" width="14.7109375" customWidth="1"/>
    <col min="9" max="9" width="3.7109375" style="38" customWidth="1"/>
    <col min="10" max="10" width="14.7109375" customWidth="1"/>
    <col min="11" max="11" width="4.85546875" style="38" bestFit="1" customWidth="1"/>
    <col min="12" max="12" width="14.7109375" customWidth="1"/>
    <col min="13" max="13" width="4.85546875" style="38" bestFit="1" customWidth="1"/>
    <col min="14" max="14" width="14.7109375" customWidth="1"/>
    <col min="15" max="15" width="3.7109375" style="39" customWidth="1"/>
    <col min="16" max="16" width="14.7109375" customWidth="1"/>
    <col min="17" max="17" width="3.7109375" style="39" customWidth="1"/>
    <col min="18" max="18" width="14.7109375" customWidth="1"/>
    <col min="19" max="19" width="3.7109375" customWidth="1"/>
  </cols>
  <sheetData>
    <row r="1" spans="1:19" ht="18.75" customHeight="1" x14ac:dyDescent="0.35">
      <c r="A1" s="8"/>
      <c r="B1" s="8"/>
      <c r="C1" s="8"/>
      <c r="D1" s="8"/>
      <c r="E1" s="146" t="s">
        <v>98</v>
      </c>
    </row>
    <row r="2" spans="1:19" ht="12.75" customHeight="1" x14ac:dyDescent="0.3">
      <c r="A2" s="7"/>
      <c r="B2" s="8"/>
      <c r="C2" s="8"/>
      <c r="D2" s="8"/>
      <c r="E2" s="8"/>
    </row>
    <row r="3" spans="1:19" ht="20.25" x14ac:dyDescent="0.3">
      <c r="A3" s="188" t="str">
        <f>Steps!$E$6</f>
        <v>Name of College</v>
      </c>
      <c r="B3" s="188"/>
      <c r="C3" s="188"/>
      <c r="D3" s="188"/>
      <c r="E3" s="188"/>
    </row>
    <row r="4" spans="1:19" ht="20.25" x14ac:dyDescent="0.3">
      <c r="A4" s="188" t="s">
        <v>864</v>
      </c>
      <c r="B4" s="188"/>
      <c r="C4" s="188"/>
      <c r="D4" s="188"/>
      <c r="E4" s="188"/>
    </row>
    <row r="5" spans="1:19" ht="20.25" x14ac:dyDescent="0.3">
      <c r="A5" s="188" t="s">
        <v>1013</v>
      </c>
      <c r="B5" s="188"/>
      <c r="C5" s="188"/>
      <c r="D5" s="188"/>
      <c r="E5" s="188"/>
    </row>
    <row r="6" spans="1:19" ht="13.5" thickBot="1" x14ac:dyDescent="0.25">
      <c r="A6" s="11"/>
      <c r="B6" s="11"/>
      <c r="C6" s="11"/>
      <c r="D6" s="11"/>
      <c r="E6" s="11"/>
    </row>
    <row r="9" spans="1:19" x14ac:dyDescent="0.2">
      <c r="A9" t="s">
        <v>71</v>
      </c>
      <c r="E9" s="13">
        <v>2025</v>
      </c>
      <c r="G9" s="46"/>
      <c r="H9" s="2"/>
      <c r="I9" s="46"/>
      <c r="J9" s="2"/>
      <c r="K9" s="46"/>
      <c r="L9" s="2"/>
      <c r="M9" s="46"/>
      <c r="N9" s="2"/>
      <c r="O9" s="47"/>
      <c r="P9" s="2"/>
      <c r="Q9" s="47"/>
      <c r="R9" s="1"/>
      <c r="S9" s="2"/>
    </row>
    <row r="10" spans="1:19" x14ac:dyDescent="0.2">
      <c r="A10" s="16" t="s">
        <v>731</v>
      </c>
      <c r="O10" s="38"/>
    </row>
    <row r="11" spans="1:19" x14ac:dyDescent="0.2">
      <c r="B11" t="s">
        <v>732</v>
      </c>
      <c r="E11" s="27">
        <f>'Exh F'!K22</f>
        <v>0</v>
      </c>
      <c r="F11" t="s">
        <v>71</v>
      </c>
      <c r="H11" s="24"/>
      <c r="J11" s="24"/>
      <c r="O11" s="38"/>
    </row>
    <row r="12" spans="1:19" x14ac:dyDescent="0.2">
      <c r="B12" t="s">
        <v>741</v>
      </c>
      <c r="E12" s="24">
        <f>'Exh F'!K30</f>
        <v>0</v>
      </c>
      <c r="F12" t="s">
        <v>71</v>
      </c>
      <c r="G12" s="24"/>
      <c r="H12" s="24"/>
      <c r="O12" s="38"/>
    </row>
    <row r="13" spans="1:19" x14ac:dyDescent="0.2">
      <c r="B13" t="s">
        <v>748</v>
      </c>
      <c r="E13" s="24">
        <f>'Exh F'!K45</f>
        <v>0</v>
      </c>
      <c r="F13" t="s">
        <v>71</v>
      </c>
      <c r="G13" s="24"/>
      <c r="H13" s="24"/>
      <c r="I13" s="24"/>
      <c r="J13" s="24"/>
      <c r="L13" s="24"/>
      <c r="N13" s="24"/>
      <c r="O13" s="38"/>
      <c r="P13" s="24"/>
      <c r="Q13" s="24"/>
      <c r="R13" s="24"/>
      <c r="S13" s="24"/>
    </row>
    <row r="14" spans="1:19" x14ac:dyDescent="0.2">
      <c r="B14" t="s">
        <v>760</v>
      </c>
      <c r="E14" s="24">
        <f>'Exh F'!K48</f>
        <v>0</v>
      </c>
      <c r="F14" t="s">
        <v>71</v>
      </c>
      <c r="G14" s="24"/>
      <c r="H14" s="24"/>
      <c r="I14" s="24"/>
      <c r="J14" s="24"/>
      <c r="L14" s="24"/>
      <c r="N14" s="24"/>
      <c r="O14" s="38"/>
      <c r="P14" s="24"/>
      <c r="Q14" s="24"/>
      <c r="R14" s="24"/>
      <c r="S14" s="24"/>
    </row>
    <row r="15" spans="1:19" x14ac:dyDescent="0.2">
      <c r="B15" t="s">
        <v>762</v>
      </c>
      <c r="E15" s="24">
        <f>'Exh F'!K50</f>
        <v>0</v>
      </c>
      <c r="F15" t="s">
        <v>71</v>
      </c>
      <c r="G15"/>
      <c r="O15" s="38"/>
    </row>
    <row r="16" spans="1:19" x14ac:dyDescent="0.2">
      <c r="B16" t="s">
        <v>605</v>
      </c>
      <c r="E16" s="24">
        <f>'Exh F'!K54</f>
        <v>0</v>
      </c>
      <c r="F16" t="s">
        <v>71</v>
      </c>
      <c r="O16" s="38"/>
    </row>
    <row r="17" spans="1:17" x14ac:dyDescent="0.2">
      <c r="B17" t="s">
        <v>653</v>
      </c>
      <c r="E17" s="24">
        <f>'Exh F'!K55</f>
        <v>0</v>
      </c>
      <c r="F17" s="1" t="s">
        <v>71</v>
      </c>
      <c r="O17" s="38"/>
    </row>
    <row r="18" spans="1:17" x14ac:dyDescent="0.2">
      <c r="B18" s="1" t="s">
        <v>766</v>
      </c>
      <c r="E18" s="24">
        <f>'Exh F'!K56</f>
        <v>0</v>
      </c>
      <c r="F18" s="1" t="s">
        <v>71</v>
      </c>
      <c r="O18" s="38"/>
    </row>
    <row r="19" spans="1:17" x14ac:dyDescent="0.2">
      <c r="B19" t="s">
        <v>767</v>
      </c>
      <c r="E19" s="24">
        <f>'Exh F'!K62</f>
        <v>0</v>
      </c>
      <c r="F19" t="s">
        <v>71</v>
      </c>
      <c r="O19" s="38"/>
    </row>
    <row r="20" spans="1:17" x14ac:dyDescent="0.2">
      <c r="C20" t="s">
        <v>865</v>
      </c>
      <c r="E20" s="26">
        <f>SUM(E11:E19)</f>
        <v>0</v>
      </c>
      <c r="O20" s="38"/>
    </row>
    <row r="21" spans="1:17" x14ac:dyDescent="0.2">
      <c r="E21" s="24"/>
      <c r="O21" s="38"/>
    </row>
    <row r="22" spans="1:17" x14ac:dyDescent="0.2">
      <c r="A22" s="16" t="s">
        <v>772</v>
      </c>
      <c r="E22" s="24"/>
      <c r="O22" s="38"/>
    </row>
    <row r="23" spans="1:17" x14ac:dyDescent="0.2">
      <c r="A23" s="16"/>
      <c r="B23" t="s">
        <v>866</v>
      </c>
      <c r="E23" s="24">
        <f>'Exh F'!K67</f>
        <v>0</v>
      </c>
      <c r="F23" t="s">
        <v>71</v>
      </c>
      <c r="O23" s="38"/>
    </row>
    <row r="24" spans="1:17" x14ac:dyDescent="0.2">
      <c r="A24" s="16"/>
      <c r="B24" t="s">
        <v>867</v>
      </c>
      <c r="E24" s="24">
        <f>'Exh F'!K68</f>
        <v>0</v>
      </c>
      <c r="F24" t="s">
        <v>71</v>
      </c>
      <c r="O24" s="38"/>
    </row>
    <row r="25" spans="1:17" x14ac:dyDescent="0.2">
      <c r="A25" s="16"/>
      <c r="B25" t="s">
        <v>267</v>
      </c>
      <c r="E25" s="24">
        <f>'Exh F'!K69</f>
        <v>0</v>
      </c>
      <c r="F25" t="s">
        <v>71</v>
      </c>
      <c r="O25" s="38"/>
    </row>
    <row r="26" spans="1:17" x14ac:dyDescent="0.2">
      <c r="A26" s="16"/>
      <c r="B26" t="s">
        <v>269</v>
      </c>
      <c r="E26" s="24">
        <f>'Exh F'!K72</f>
        <v>0</v>
      </c>
      <c r="F26" t="s">
        <v>71</v>
      </c>
      <c r="J26" t="s">
        <v>71</v>
      </c>
      <c r="O26" s="38"/>
    </row>
    <row r="27" spans="1:17" x14ac:dyDescent="0.2">
      <c r="A27" s="16"/>
      <c r="B27" t="s">
        <v>271</v>
      </c>
      <c r="E27" s="24">
        <f>'Exh F'!K74</f>
        <v>0</v>
      </c>
      <c r="F27" t="s">
        <v>71</v>
      </c>
      <c r="O27" s="38"/>
      <c r="Q27"/>
    </row>
    <row r="28" spans="1:17" x14ac:dyDescent="0.2">
      <c r="A28" s="16"/>
      <c r="B28" s="1" t="s">
        <v>868</v>
      </c>
      <c r="E28" s="24">
        <f>SUM('Exh F'!K76+'Exh F'!K85+'Exh F'!K93)</f>
        <v>0</v>
      </c>
      <c r="F28" t="s">
        <v>71</v>
      </c>
      <c r="O28" s="38"/>
      <c r="Q28"/>
    </row>
    <row r="29" spans="1:17" hidden="1" x14ac:dyDescent="0.2">
      <c r="A29" s="16"/>
      <c r="B29" s="123" t="s">
        <v>273</v>
      </c>
      <c r="C29" s="124"/>
      <c r="D29" s="124"/>
      <c r="E29" s="125"/>
      <c r="F29" s="122" t="s">
        <v>869</v>
      </c>
      <c r="O29" s="38"/>
      <c r="Q29"/>
    </row>
    <row r="30" spans="1:17" hidden="1" x14ac:dyDescent="0.2">
      <c r="A30" s="16"/>
      <c r="B30" s="124" t="s">
        <v>782</v>
      </c>
      <c r="C30" s="124"/>
      <c r="D30" s="124"/>
      <c r="E30" s="125"/>
      <c r="F30" s="122" t="s">
        <v>869</v>
      </c>
      <c r="O30" s="38"/>
      <c r="Q30"/>
    </row>
    <row r="31" spans="1:17" hidden="1" x14ac:dyDescent="0.2">
      <c r="B31" s="126" t="s">
        <v>870</v>
      </c>
      <c r="C31" s="126"/>
      <c r="D31" s="126"/>
      <c r="E31" s="127">
        <v>0</v>
      </c>
      <c r="F31" s="122" t="s">
        <v>869</v>
      </c>
      <c r="O31" s="38"/>
      <c r="Q31"/>
    </row>
    <row r="32" spans="1:17" x14ac:dyDescent="0.2">
      <c r="C32" t="s">
        <v>871</v>
      </c>
      <c r="E32" s="25">
        <f>SUM(E23:E31)</f>
        <v>0</v>
      </c>
      <c r="O32" s="38"/>
      <c r="Q32"/>
    </row>
    <row r="33" spans="1:17" x14ac:dyDescent="0.2">
      <c r="E33" s="24"/>
      <c r="O33" s="38"/>
      <c r="Q33"/>
    </row>
    <row r="34" spans="1:17" x14ac:dyDescent="0.2">
      <c r="A34" s="16" t="s">
        <v>796</v>
      </c>
      <c r="E34" s="24"/>
      <c r="O34" s="38"/>
      <c r="Q34"/>
    </row>
    <row r="35" spans="1:17" x14ac:dyDescent="0.2">
      <c r="A35" s="16" t="s">
        <v>797</v>
      </c>
      <c r="E35" s="24"/>
      <c r="O35" s="38"/>
      <c r="Q35"/>
    </row>
    <row r="36" spans="1:17" x14ac:dyDescent="0.2">
      <c r="A36" s="16"/>
      <c r="B36" t="s">
        <v>798</v>
      </c>
      <c r="E36" s="24">
        <f>'Exh F'!K101</f>
        <v>0</v>
      </c>
      <c r="F36" s="1" t="s">
        <v>71</v>
      </c>
      <c r="O36" s="38"/>
      <c r="Q36"/>
    </row>
    <row r="37" spans="1:17" x14ac:dyDescent="0.2">
      <c r="A37" s="16"/>
      <c r="B37" t="s">
        <v>800</v>
      </c>
      <c r="E37" s="24">
        <f>'Exh F'!K104</f>
        <v>0</v>
      </c>
      <c r="F37" s="1" t="s">
        <v>71</v>
      </c>
      <c r="O37" s="38"/>
      <c r="Q37"/>
    </row>
    <row r="38" spans="1:17" x14ac:dyDescent="0.2">
      <c r="A38" s="16"/>
      <c r="B38" t="s">
        <v>872</v>
      </c>
      <c r="E38" s="24">
        <f>SUM('Exh F'!K105+'Exh F'!K113+'Exh F'!K121)</f>
        <v>0</v>
      </c>
      <c r="F38" s="1" t="s">
        <v>71</v>
      </c>
      <c r="O38" s="38"/>
      <c r="Q38"/>
    </row>
    <row r="39" spans="1:17" hidden="1" x14ac:dyDescent="0.2">
      <c r="A39" s="16"/>
      <c r="B39" t="s">
        <v>803</v>
      </c>
      <c r="E39" s="24"/>
      <c r="O39" s="38"/>
      <c r="Q39"/>
    </row>
    <row r="40" spans="1:17" hidden="1" x14ac:dyDescent="0.2">
      <c r="B40" t="s">
        <v>810</v>
      </c>
      <c r="E40" s="24"/>
      <c r="O40" s="38"/>
      <c r="Q40"/>
    </row>
    <row r="41" spans="1:17" x14ac:dyDescent="0.2">
      <c r="B41" t="s">
        <v>817</v>
      </c>
      <c r="E41" s="24">
        <f>'Exh F'!K123</f>
        <v>0</v>
      </c>
      <c r="F41" t="s">
        <v>71</v>
      </c>
      <c r="O41" s="38"/>
      <c r="Q41"/>
    </row>
    <row r="42" spans="1:17" x14ac:dyDescent="0.2">
      <c r="B42" t="s">
        <v>429</v>
      </c>
      <c r="E42" s="24">
        <f>'Exh F'!K126</f>
        <v>0</v>
      </c>
      <c r="F42" t="s">
        <v>71</v>
      </c>
      <c r="O42" s="38"/>
      <c r="Q42"/>
    </row>
    <row r="43" spans="1:17" x14ac:dyDescent="0.2">
      <c r="B43" t="s">
        <v>818</v>
      </c>
      <c r="E43" s="24">
        <f>'Exh F'!K128</f>
        <v>0</v>
      </c>
      <c r="F43" t="s">
        <v>71</v>
      </c>
      <c r="O43" s="38"/>
      <c r="Q43"/>
    </row>
    <row r="44" spans="1:17" x14ac:dyDescent="0.2">
      <c r="B44" s="1" t="s">
        <v>873</v>
      </c>
      <c r="E44" s="24">
        <f>'Exh F'!K143</f>
        <v>0</v>
      </c>
      <c r="O44" s="38"/>
      <c r="Q44"/>
    </row>
    <row r="45" spans="1:17" x14ac:dyDescent="0.2">
      <c r="B45" s="1" t="s">
        <v>874</v>
      </c>
      <c r="E45" s="24">
        <f>'Exh F'!K145</f>
        <v>0</v>
      </c>
      <c r="O45" s="38"/>
      <c r="Q45"/>
    </row>
    <row r="46" spans="1:17" x14ac:dyDescent="0.2">
      <c r="B46" t="s">
        <v>819</v>
      </c>
      <c r="E46" s="24">
        <f>'Exh F'!K134</f>
        <v>0</v>
      </c>
      <c r="F46" t="s">
        <v>71</v>
      </c>
      <c r="O46" s="38"/>
      <c r="Q46"/>
    </row>
    <row r="47" spans="1:17" x14ac:dyDescent="0.2">
      <c r="B47" t="s">
        <v>826</v>
      </c>
      <c r="E47" s="24">
        <f>'Exh F'!K138</f>
        <v>0</v>
      </c>
      <c r="F47" t="s">
        <v>71</v>
      </c>
      <c r="O47" s="38"/>
      <c r="Q47"/>
    </row>
    <row r="48" spans="1:17" x14ac:dyDescent="0.2">
      <c r="B48" t="s">
        <v>837</v>
      </c>
      <c r="E48" s="25">
        <f>'Exh F'!K149</f>
        <v>0</v>
      </c>
      <c r="F48" t="s">
        <v>71</v>
      </c>
      <c r="O48" s="38"/>
      <c r="Q48"/>
    </row>
    <row r="49" spans="1:17" x14ac:dyDescent="0.2">
      <c r="C49" t="s">
        <v>875</v>
      </c>
      <c r="E49" s="26">
        <f>SUM(E36:E48)</f>
        <v>0</v>
      </c>
      <c r="O49" s="38"/>
      <c r="Q49"/>
    </row>
    <row r="50" spans="1:17" x14ac:dyDescent="0.2">
      <c r="E50" s="24"/>
      <c r="O50" s="38"/>
      <c r="Q50"/>
    </row>
    <row r="51" spans="1:17" x14ac:dyDescent="0.2">
      <c r="A51" s="16" t="s">
        <v>840</v>
      </c>
      <c r="E51" s="24"/>
      <c r="O51" s="38"/>
      <c r="Q51"/>
    </row>
    <row r="52" spans="1:17" x14ac:dyDescent="0.2">
      <c r="B52" t="s">
        <v>841</v>
      </c>
      <c r="E52" s="24">
        <f>'Exh F'!K154</f>
        <v>0</v>
      </c>
      <c r="F52" s="1" t="s">
        <v>71</v>
      </c>
      <c r="O52" s="38"/>
      <c r="Q52"/>
    </row>
    <row r="53" spans="1:17" x14ac:dyDescent="0.2">
      <c r="B53" t="s">
        <v>842</v>
      </c>
      <c r="E53" s="24">
        <f>'Exh F'!K158</f>
        <v>0</v>
      </c>
      <c r="F53" s="1" t="s">
        <v>71</v>
      </c>
      <c r="O53" s="38"/>
      <c r="Q53"/>
    </row>
    <row r="54" spans="1:17" x14ac:dyDescent="0.2">
      <c r="B54" t="s">
        <v>845</v>
      </c>
      <c r="E54" s="25">
        <f>'Exh F'!K161</f>
        <v>0</v>
      </c>
      <c r="F54" s="1" t="s">
        <v>71</v>
      </c>
      <c r="O54" s="38"/>
      <c r="Q54"/>
    </row>
    <row r="55" spans="1:17" x14ac:dyDescent="0.2">
      <c r="C55" t="s">
        <v>876</v>
      </c>
      <c r="E55" s="25">
        <f>SUM(E52:E54)</f>
        <v>0</v>
      </c>
      <c r="O55" s="38"/>
      <c r="Q55"/>
    </row>
    <row r="56" spans="1:17" x14ac:dyDescent="0.2">
      <c r="E56" s="24"/>
      <c r="O56" s="38"/>
      <c r="Q56"/>
    </row>
    <row r="57" spans="1:17" x14ac:dyDescent="0.2">
      <c r="A57" s="1" t="s">
        <v>877</v>
      </c>
      <c r="E57" s="24">
        <f>E20+E32+E49+E55</f>
        <v>0</v>
      </c>
      <c r="O57" s="38"/>
      <c r="Q57"/>
    </row>
    <row r="58" spans="1:17" x14ac:dyDescent="0.2">
      <c r="A58" s="1" t="s">
        <v>878</v>
      </c>
      <c r="E58" s="25">
        <f>'Exh A'!G12+'Exh A'!G13+'Exh A'!G30</f>
        <v>0</v>
      </c>
      <c r="O58" s="38"/>
      <c r="Q58"/>
    </row>
    <row r="59" spans="1:17" ht="13.5" thickBot="1" x14ac:dyDescent="0.25">
      <c r="A59" t="s">
        <v>879</v>
      </c>
      <c r="E59" s="28">
        <f>E57+E58</f>
        <v>0</v>
      </c>
      <c r="O59" s="38"/>
      <c r="Q59"/>
    </row>
    <row r="60" spans="1:17" ht="13.5" thickTop="1" x14ac:dyDescent="0.2">
      <c r="O60" s="38"/>
      <c r="Q60"/>
    </row>
    <row r="61" spans="1:17" ht="19.5" x14ac:dyDescent="0.35">
      <c r="D61" s="194" t="s">
        <v>880</v>
      </c>
      <c r="E61" s="194"/>
      <c r="O61" s="38"/>
      <c r="Q61"/>
    </row>
    <row r="62" spans="1:17" x14ac:dyDescent="0.2">
      <c r="A62" s="7"/>
      <c r="B62" s="7"/>
      <c r="C62" s="7"/>
      <c r="D62" s="7"/>
      <c r="E62" s="7"/>
      <c r="O62" s="38"/>
      <c r="Q62"/>
    </row>
    <row r="63" spans="1:17" ht="20.25" x14ac:dyDescent="0.3">
      <c r="A63" s="188" t="str">
        <f>Steps!$E$6</f>
        <v>Name of College</v>
      </c>
      <c r="B63" s="188"/>
      <c r="C63" s="188"/>
      <c r="D63" s="188"/>
      <c r="E63" s="188"/>
      <c r="O63" s="38"/>
      <c r="Q63"/>
    </row>
    <row r="64" spans="1:17" ht="20.25" x14ac:dyDescent="0.3">
      <c r="A64" s="188" t="s">
        <v>864</v>
      </c>
      <c r="B64" s="188"/>
      <c r="C64" s="188"/>
      <c r="D64" s="188"/>
      <c r="E64" s="188"/>
      <c r="O64" s="38"/>
      <c r="Q64"/>
    </row>
    <row r="65" spans="1:17" ht="20.25" x14ac:dyDescent="0.3">
      <c r="A65" s="188" t="str">
        <f>A5</f>
        <v>For the Fiscal Year Ended June 30, 2025</v>
      </c>
      <c r="B65" s="188"/>
      <c r="C65" s="188"/>
      <c r="D65" s="188"/>
      <c r="E65" s="188"/>
      <c r="O65" s="38"/>
      <c r="Q65"/>
    </row>
    <row r="66" spans="1:17" ht="13.5" thickBot="1" x14ac:dyDescent="0.25">
      <c r="A66" s="11"/>
      <c r="B66" s="11"/>
      <c r="C66" s="11"/>
      <c r="D66" s="11"/>
      <c r="E66" s="11"/>
      <c r="O66" s="38"/>
      <c r="Q66"/>
    </row>
    <row r="67" spans="1:17" x14ac:dyDescent="0.2">
      <c r="O67" s="38"/>
      <c r="Q67"/>
    </row>
    <row r="68" spans="1:17" x14ac:dyDescent="0.2">
      <c r="O68" s="38"/>
      <c r="Q68"/>
    </row>
    <row r="69" spans="1:17" x14ac:dyDescent="0.2">
      <c r="A69" s="16" t="s">
        <v>881</v>
      </c>
      <c r="O69" s="38"/>
      <c r="Q69"/>
    </row>
    <row r="70" spans="1:17" x14ac:dyDescent="0.2">
      <c r="A70" s="16" t="s">
        <v>882</v>
      </c>
      <c r="O70" s="38"/>
      <c r="Q70"/>
    </row>
    <row r="71" spans="1:17" x14ac:dyDescent="0.2">
      <c r="A71" s="1" t="s">
        <v>261</v>
      </c>
      <c r="E71" s="48">
        <f>'Exh B'!E28</f>
        <v>0</v>
      </c>
      <c r="O71" s="38"/>
      <c r="Q71"/>
    </row>
    <row r="72" spans="1:17" x14ac:dyDescent="0.2">
      <c r="A72" t="s">
        <v>883</v>
      </c>
      <c r="E72" s="24"/>
      <c r="O72" s="38"/>
      <c r="Q72"/>
    </row>
    <row r="73" spans="1:17" x14ac:dyDescent="0.2">
      <c r="A73" t="s">
        <v>884</v>
      </c>
      <c r="E73" s="24"/>
      <c r="F73" s="97" t="s">
        <v>885</v>
      </c>
      <c r="O73" s="38"/>
      <c r="Q73"/>
    </row>
    <row r="74" spans="1:17" x14ac:dyDescent="0.2">
      <c r="B74" t="s">
        <v>886</v>
      </c>
      <c r="E74" s="24">
        <f>B_11</f>
        <v>0</v>
      </c>
      <c r="F74" s="98" t="s">
        <v>259</v>
      </c>
      <c r="O74" s="38"/>
      <c r="Q74"/>
    </row>
    <row r="75" spans="1:17" x14ac:dyDescent="0.2">
      <c r="B75" s="1" t="s">
        <v>887</v>
      </c>
      <c r="E75" s="24">
        <f>E_80</f>
        <v>0</v>
      </c>
      <c r="F75" s="98" t="s">
        <v>622</v>
      </c>
      <c r="I75"/>
      <c r="K75"/>
      <c r="O75" s="38"/>
      <c r="Q75"/>
    </row>
    <row r="76" spans="1:17" x14ac:dyDescent="0.2">
      <c r="B76" s="1" t="s">
        <v>888</v>
      </c>
      <c r="E76" s="24">
        <f>E_91</f>
        <v>0</v>
      </c>
      <c r="F76" s="98" t="s">
        <v>631</v>
      </c>
      <c r="I76"/>
      <c r="K76"/>
      <c r="O76" s="38"/>
      <c r="Q76"/>
    </row>
    <row r="77" spans="1:17" x14ac:dyDescent="0.2">
      <c r="B77" t="s">
        <v>889</v>
      </c>
      <c r="E77" s="24">
        <f>E143</f>
        <v>0</v>
      </c>
      <c r="F77" s="98" t="s">
        <v>890</v>
      </c>
      <c r="O77" s="38"/>
      <c r="Q77"/>
    </row>
    <row r="78" spans="1:17" x14ac:dyDescent="0.2">
      <c r="B78" t="s">
        <v>891</v>
      </c>
      <c r="E78" s="24">
        <f>E_48</f>
        <v>0</v>
      </c>
      <c r="F78" s="98" t="s">
        <v>587</v>
      </c>
      <c r="I78"/>
      <c r="O78" s="38"/>
      <c r="Q78"/>
    </row>
    <row r="79" spans="1:17" x14ac:dyDescent="0.2">
      <c r="B79" s="1" t="s">
        <v>892</v>
      </c>
      <c r="E79" s="24"/>
      <c r="F79" s="97"/>
      <c r="O79" s="38"/>
      <c r="Q79"/>
    </row>
    <row r="80" spans="1:17" x14ac:dyDescent="0.2">
      <c r="B80" s="58" t="s">
        <v>893</v>
      </c>
      <c r="E80" s="24"/>
      <c r="F80" s="97"/>
      <c r="O80" s="38"/>
      <c r="Q80"/>
    </row>
    <row r="81" spans="3:17" x14ac:dyDescent="0.2">
      <c r="C81" t="s">
        <v>86</v>
      </c>
      <c r="E81" s="24">
        <f>E154</f>
        <v>0</v>
      </c>
      <c r="F81" s="97" t="s">
        <v>894</v>
      </c>
      <c r="O81" s="38"/>
      <c r="Q81"/>
    </row>
    <row r="82" spans="3:17" x14ac:dyDescent="0.2">
      <c r="C82" t="s">
        <v>90</v>
      </c>
      <c r="E82" s="24">
        <f>-A_2</f>
        <v>0</v>
      </c>
      <c r="F82" s="98" t="s">
        <v>91</v>
      </c>
      <c r="O82" s="38"/>
      <c r="Q82"/>
    </row>
    <row r="83" spans="3:17" x14ac:dyDescent="0.2">
      <c r="C83" t="s">
        <v>92</v>
      </c>
      <c r="E83" s="24">
        <f>-A_3</f>
        <v>0</v>
      </c>
      <c r="F83" s="98" t="s">
        <v>93</v>
      </c>
      <c r="O83" s="38"/>
      <c r="Q83"/>
    </row>
    <row r="84" spans="3:17" x14ac:dyDescent="0.2">
      <c r="C84" t="s">
        <v>895</v>
      </c>
      <c r="E84" s="24">
        <f>-('Exh A'!I25+'Exh A'!I39)</f>
        <v>0</v>
      </c>
      <c r="F84" s="98" t="s">
        <v>896</v>
      </c>
      <c r="O84" s="38"/>
      <c r="Q84"/>
    </row>
    <row r="85" spans="3:17" x14ac:dyDescent="0.2">
      <c r="C85" t="s">
        <v>99</v>
      </c>
      <c r="E85" s="24">
        <f>-('Exh A'!I26+'Exh A'!I40)</f>
        <v>0</v>
      </c>
      <c r="F85" s="98" t="s">
        <v>896</v>
      </c>
      <c r="O85" s="38"/>
      <c r="Q85"/>
    </row>
    <row r="86" spans="3:17" x14ac:dyDescent="0.2">
      <c r="C86" t="s">
        <v>94</v>
      </c>
      <c r="E86" s="24">
        <f>E160</f>
        <v>0</v>
      </c>
      <c r="F86" s="98" t="s">
        <v>897</v>
      </c>
      <c r="O86" s="38"/>
      <c r="Q86"/>
    </row>
    <row r="87" spans="3:17" x14ac:dyDescent="0.2">
      <c r="C87" t="s">
        <v>114</v>
      </c>
      <c r="E87" s="24">
        <f>-'Exh A'!I48</f>
        <v>0</v>
      </c>
      <c r="F87" s="98" t="s">
        <v>896</v>
      </c>
      <c r="O87" s="38"/>
      <c r="Q87"/>
    </row>
    <row r="88" spans="3:17" x14ac:dyDescent="0.2">
      <c r="C88" s="1" t="s">
        <v>898</v>
      </c>
      <c r="E88" s="24">
        <f>-'Exh A'!I47</f>
        <v>0</v>
      </c>
      <c r="F88" s="98" t="s">
        <v>896</v>
      </c>
      <c r="O88" s="38"/>
      <c r="Q88"/>
    </row>
    <row r="89" spans="3:17" x14ac:dyDescent="0.2">
      <c r="C89" t="s">
        <v>115</v>
      </c>
      <c r="E89" s="24">
        <f>-'Exh A'!I49</f>
        <v>0</v>
      </c>
      <c r="F89" s="98" t="s">
        <v>896</v>
      </c>
      <c r="O89" s="38"/>
      <c r="Q89"/>
    </row>
    <row r="90" spans="3:17" x14ac:dyDescent="0.2">
      <c r="C90" t="s">
        <v>119</v>
      </c>
      <c r="E90" s="24">
        <f>E166</f>
        <v>0</v>
      </c>
      <c r="F90" s="98" t="s">
        <v>899</v>
      </c>
      <c r="O90" s="38"/>
      <c r="Q90"/>
    </row>
    <row r="91" spans="3:17" x14ac:dyDescent="0.2">
      <c r="C91" t="s">
        <v>120</v>
      </c>
      <c r="E91" s="24">
        <f>A_4</f>
        <v>0</v>
      </c>
      <c r="F91" s="98" t="s">
        <v>121</v>
      </c>
      <c r="O91" s="38"/>
      <c r="Q91"/>
    </row>
    <row r="92" spans="3:17" x14ac:dyDescent="0.2">
      <c r="C92" t="s">
        <v>122</v>
      </c>
      <c r="E92" s="24">
        <f>A_5</f>
        <v>0</v>
      </c>
      <c r="F92" s="98" t="s">
        <v>123</v>
      </c>
      <c r="O92" s="38"/>
      <c r="Q92"/>
    </row>
    <row r="93" spans="3:17" x14ac:dyDescent="0.2">
      <c r="C93" t="s">
        <v>124</v>
      </c>
      <c r="E93" s="24">
        <f>E179</f>
        <v>0</v>
      </c>
      <c r="F93" s="98" t="s">
        <v>900</v>
      </c>
      <c r="O93" s="38"/>
      <c r="Q93"/>
    </row>
    <row r="94" spans="3:17" x14ac:dyDescent="0.2">
      <c r="C94" t="s">
        <v>125</v>
      </c>
      <c r="E94" s="24">
        <f>SUM(E_36+E_61-E_62)</f>
        <v>0</v>
      </c>
      <c r="F94" s="98" t="s">
        <v>658</v>
      </c>
      <c r="O94" s="38"/>
      <c r="Q94"/>
    </row>
    <row r="95" spans="3:17" x14ac:dyDescent="0.2">
      <c r="C95" s="3" t="s">
        <v>453</v>
      </c>
      <c r="E95" s="24">
        <f>D_7</f>
        <v>0</v>
      </c>
      <c r="F95" s="98" t="s">
        <v>454</v>
      </c>
      <c r="O95" s="38"/>
      <c r="Q95"/>
    </row>
    <row r="96" spans="3:17" x14ac:dyDescent="0.2">
      <c r="C96" s="3" t="s">
        <v>456</v>
      </c>
      <c r="E96" s="24">
        <f>'Exh D'!P15+E_72</f>
        <v>0</v>
      </c>
      <c r="F96" s="98" t="s">
        <v>901</v>
      </c>
      <c r="I96"/>
      <c r="K96"/>
      <c r="M96"/>
      <c r="O96" s="38"/>
      <c r="Q96"/>
    </row>
    <row r="97" spans="1:17" x14ac:dyDescent="0.2">
      <c r="C97" s="3" t="s">
        <v>455</v>
      </c>
      <c r="E97" s="24">
        <f>'Exh D'!P14</f>
        <v>0</v>
      </c>
      <c r="F97" s="98" t="s">
        <v>127</v>
      </c>
      <c r="O97" s="38"/>
      <c r="Q97"/>
    </row>
    <row r="98" spans="1:17" x14ac:dyDescent="0.2">
      <c r="C98" s="3" t="s">
        <v>902</v>
      </c>
      <c r="E98" s="24">
        <f>D_8</f>
        <v>0</v>
      </c>
      <c r="F98" s="98" t="s">
        <v>458</v>
      </c>
      <c r="O98" s="38"/>
      <c r="Q98"/>
    </row>
    <row r="99" spans="1:17" x14ac:dyDescent="0.2">
      <c r="C99" t="s">
        <v>459</v>
      </c>
      <c r="E99" s="24">
        <f>D_5</f>
        <v>0</v>
      </c>
      <c r="F99" s="98" t="s">
        <v>460</v>
      </c>
      <c r="O99" s="38"/>
      <c r="Q99"/>
    </row>
    <row r="100" spans="1:17" x14ac:dyDescent="0.2">
      <c r="C100" t="s">
        <v>137</v>
      </c>
      <c r="E100" s="24">
        <f>'Exh A'!I80</f>
        <v>0</v>
      </c>
      <c r="F100" s="98" t="s">
        <v>896</v>
      </c>
      <c r="I100"/>
      <c r="K100"/>
      <c r="O100" s="38"/>
      <c r="Q100"/>
    </row>
    <row r="101" spans="1:17" x14ac:dyDescent="0.2">
      <c r="C101" t="s">
        <v>139</v>
      </c>
      <c r="E101" s="24">
        <f>'Exh A'!I82</f>
        <v>0</v>
      </c>
      <c r="F101" s="98" t="s">
        <v>896</v>
      </c>
      <c r="O101" s="38"/>
      <c r="Q101"/>
    </row>
    <row r="102" spans="1:17" x14ac:dyDescent="0.2">
      <c r="C102" t="s">
        <v>138</v>
      </c>
      <c r="E102" s="25">
        <f>'Exh A'!I81</f>
        <v>0</v>
      </c>
      <c r="F102" s="98" t="s">
        <v>896</v>
      </c>
      <c r="O102" s="38"/>
      <c r="Q102"/>
    </row>
    <row r="103" spans="1:17" x14ac:dyDescent="0.2">
      <c r="C103" s="17" t="s">
        <v>903</v>
      </c>
      <c r="E103" s="26">
        <f>SUM(E74:E102)</f>
        <v>0</v>
      </c>
      <c r="F103" s="97"/>
      <c r="O103" s="38"/>
      <c r="Q103"/>
    </row>
    <row r="104" spans="1:17" ht="13.5" thickBot="1" x14ac:dyDescent="0.25">
      <c r="A104" t="s">
        <v>865</v>
      </c>
      <c r="E104" s="34">
        <f>E71+E103</f>
        <v>0</v>
      </c>
      <c r="F104" s="97"/>
      <c r="O104" s="38"/>
      <c r="Q104"/>
    </row>
    <row r="105" spans="1:17" ht="13.5" thickTop="1" x14ac:dyDescent="0.2">
      <c r="E105" s="24"/>
      <c r="F105" s="97"/>
      <c r="O105" s="38"/>
      <c r="Q105"/>
    </row>
    <row r="106" spans="1:17" x14ac:dyDescent="0.2">
      <c r="E106" s="24"/>
      <c r="F106" s="97"/>
      <c r="O106" s="38"/>
      <c r="Q106"/>
    </row>
    <row r="107" spans="1:17" x14ac:dyDescent="0.2">
      <c r="A107" s="16" t="s">
        <v>904</v>
      </c>
      <c r="E107" s="24"/>
      <c r="F107" s="97" t="s">
        <v>905</v>
      </c>
      <c r="O107" s="38"/>
      <c r="Q107"/>
    </row>
    <row r="108" spans="1:17" x14ac:dyDescent="0.2">
      <c r="A108" s="16"/>
      <c r="B108" t="s">
        <v>906</v>
      </c>
      <c r="E108" s="24">
        <f>E200</f>
        <v>0</v>
      </c>
      <c r="F108" s="97" t="s">
        <v>907</v>
      </c>
      <c r="O108" s="38"/>
      <c r="Q108"/>
    </row>
    <row r="109" spans="1:17" x14ac:dyDescent="0.2">
      <c r="A109" s="16"/>
      <c r="B109" t="s">
        <v>908</v>
      </c>
      <c r="E109" s="24">
        <f>E207</f>
        <v>0</v>
      </c>
      <c r="F109" s="97" t="s">
        <v>909</v>
      </c>
      <c r="O109" s="38"/>
      <c r="Q109"/>
    </row>
    <row r="110" spans="1:17" x14ac:dyDescent="0.2">
      <c r="A110" s="16"/>
      <c r="B110" t="s">
        <v>860</v>
      </c>
      <c r="E110" s="24">
        <f>E_40</f>
        <v>0</v>
      </c>
      <c r="F110" s="98" t="s">
        <v>564</v>
      </c>
      <c r="O110" s="38"/>
      <c r="Q110"/>
    </row>
    <row r="111" spans="1:17" x14ac:dyDescent="0.2">
      <c r="A111" s="16"/>
      <c r="B111" t="s">
        <v>910</v>
      </c>
      <c r="E111" s="24">
        <f>E_59</f>
        <v>0</v>
      </c>
      <c r="F111" s="98" t="s">
        <v>424</v>
      </c>
      <c r="O111" s="38"/>
      <c r="Q111"/>
    </row>
    <row r="112" spans="1:17" x14ac:dyDescent="0.2">
      <c r="A112" s="16"/>
      <c r="B112" t="s">
        <v>911</v>
      </c>
      <c r="E112" s="24">
        <f>E219</f>
        <v>0</v>
      </c>
      <c r="F112" s="97" t="s">
        <v>912</v>
      </c>
      <c r="O112" s="38"/>
      <c r="Q112"/>
    </row>
    <row r="113" spans="1:17" x14ac:dyDescent="0.2">
      <c r="A113" s="16"/>
      <c r="B113" s="1" t="s">
        <v>913</v>
      </c>
      <c r="E113" s="24">
        <f>E225</f>
        <v>0</v>
      </c>
      <c r="F113" s="97" t="s">
        <v>914</v>
      </c>
      <c r="O113" s="38"/>
      <c r="Q113"/>
    </row>
    <row r="114" spans="1:17" x14ac:dyDescent="0.2">
      <c r="A114" s="16"/>
      <c r="B114" s="1" t="s">
        <v>915</v>
      </c>
      <c r="E114" s="24">
        <f>-E_72</f>
        <v>0</v>
      </c>
      <c r="F114" s="97" t="s">
        <v>651</v>
      </c>
      <c r="O114" s="38"/>
      <c r="Q114"/>
    </row>
    <row r="115" spans="1:17" x14ac:dyDescent="0.2">
      <c r="A115" s="16"/>
      <c r="B115" s="180" t="s">
        <v>1033</v>
      </c>
      <c r="C115" s="180"/>
      <c r="D115" s="180"/>
      <c r="E115" s="24">
        <f>+D_14+D_15</f>
        <v>0</v>
      </c>
      <c r="F115" s="97" t="s">
        <v>1030</v>
      </c>
      <c r="O115" s="38"/>
      <c r="Q115"/>
    </row>
    <row r="116" spans="1:17" x14ac:dyDescent="0.2">
      <c r="E116" s="24"/>
      <c r="F116" s="97"/>
      <c r="O116" s="38"/>
      <c r="Q116"/>
    </row>
    <row r="117" spans="1:17" ht="19.5" x14ac:dyDescent="0.35">
      <c r="E117" s="146" t="s">
        <v>880</v>
      </c>
      <c r="F117" s="97"/>
      <c r="O117" s="38"/>
      <c r="Q117"/>
    </row>
    <row r="118" spans="1:17" ht="20.25" x14ac:dyDescent="0.3">
      <c r="A118" s="188" t="str">
        <f>Steps!$E$6</f>
        <v>Name of College</v>
      </c>
      <c r="B118" s="188"/>
      <c r="C118" s="188"/>
      <c r="D118" s="188"/>
      <c r="E118" s="188"/>
      <c r="F118" s="97"/>
      <c r="O118" s="38"/>
      <c r="Q118"/>
    </row>
    <row r="119" spans="1:17" ht="20.25" x14ac:dyDescent="0.3">
      <c r="A119" s="188" t="s">
        <v>864</v>
      </c>
      <c r="B119" s="188"/>
      <c r="C119" s="188"/>
      <c r="D119" s="188"/>
      <c r="E119" s="188"/>
      <c r="F119" s="97"/>
      <c r="O119" s="38"/>
      <c r="Q119"/>
    </row>
    <row r="120" spans="1:17" ht="20.25" x14ac:dyDescent="0.3">
      <c r="A120" s="188" t="str">
        <f>A5</f>
        <v>For the Fiscal Year Ended June 30, 2025</v>
      </c>
      <c r="B120" s="188"/>
      <c r="C120" s="188"/>
      <c r="D120" s="188"/>
      <c r="E120" s="188"/>
      <c r="F120" s="97"/>
      <c r="O120" s="38"/>
      <c r="Q120"/>
    </row>
    <row r="121" spans="1:17" ht="13.5" thickBot="1" x14ac:dyDescent="0.25">
      <c r="A121" s="11"/>
      <c r="B121" s="11"/>
      <c r="C121" s="11"/>
      <c r="D121" s="11"/>
      <c r="E121" s="11"/>
      <c r="F121" s="97"/>
      <c r="O121" s="38"/>
      <c r="Q121"/>
    </row>
    <row r="122" spans="1:17" x14ac:dyDescent="0.2">
      <c r="E122" s="24"/>
      <c r="F122" s="97"/>
      <c r="O122" s="38"/>
      <c r="Q122"/>
    </row>
    <row r="123" spans="1:17" x14ac:dyDescent="0.2">
      <c r="E123" s="24"/>
      <c r="F123" s="97"/>
      <c r="O123" s="38"/>
      <c r="Q123"/>
    </row>
    <row r="124" spans="1:17" x14ac:dyDescent="0.2">
      <c r="A124" s="42" t="s">
        <v>916</v>
      </c>
      <c r="E124" s="24"/>
      <c r="F124" s="97"/>
      <c r="O124" s="38"/>
      <c r="Q124"/>
    </row>
    <row r="125" spans="1:17" ht="12.75" customHeight="1" x14ac:dyDescent="0.2">
      <c r="A125" s="42"/>
      <c r="E125" s="24"/>
      <c r="F125" s="97"/>
      <c r="O125" s="38"/>
      <c r="Q125"/>
    </row>
    <row r="126" spans="1:17" ht="12.75" customHeight="1" x14ac:dyDescent="0.2">
      <c r="A126" s="187" t="s">
        <v>157</v>
      </c>
      <c r="B126" s="187"/>
      <c r="C126" s="17" t="s">
        <v>917</v>
      </c>
      <c r="E126" s="24"/>
      <c r="F126" s="97"/>
      <c r="O126" s="38"/>
      <c r="Q126"/>
    </row>
    <row r="127" spans="1:17" ht="12.75" customHeight="1" x14ac:dyDescent="0.2">
      <c r="C127" s="17" t="s">
        <v>918</v>
      </c>
      <c r="E127" s="24"/>
      <c r="F127" s="97"/>
      <c r="O127" s="38"/>
      <c r="Q127"/>
    </row>
    <row r="128" spans="1:17" ht="12.75" customHeight="1" x14ac:dyDescent="0.2">
      <c r="C128" s="17" t="s">
        <v>919</v>
      </c>
      <c r="E128" s="24"/>
      <c r="F128" s="97"/>
      <c r="O128" s="38"/>
      <c r="Q128"/>
    </row>
    <row r="129" spans="1:17" ht="12.75" customHeight="1" x14ac:dyDescent="0.2">
      <c r="C129" s="17" t="s">
        <v>920</v>
      </c>
      <c r="E129" s="24"/>
      <c r="F129" s="97"/>
      <c r="O129" s="38"/>
      <c r="Q129"/>
    </row>
    <row r="130" spans="1:17" ht="12.75" customHeight="1" x14ac:dyDescent="0.2">
      <c r="C130" s="17" t="s">
        <v>921</v>
      </c>
      <c r="E130" s="24"/>
      <c r="F130" s="97"/>
      <c r="O130" s="38"/>
      <c r="Q130"/>
    </row>
    <row r="131" spans="1:17" ht="12.75" customHeight="1" x14ac:dyDescent="0.2">
      <c r="C131" s="17" t="s">
        <v>922</v>
      </c>
      <c r="E131" s="24"/>
      <c r="F131" s="97"/>
      <c r="O131" s="38"/>
      <c r="Q131"/>
    </row>
    <row r="132" spans="1:17" ht="12.75" customHeight="1" x14ac:dyDescent="0.2">
      <c r="C132" s="17" t="s">
        <v>923</v>
      </c>
      <c r="E132" s="24"/>
      <c r="F132" s="97"/>
      <c r="O132" s="38"/>
      <c r="Q132"/>
    </row>
    <row r="133" spans="1:17" ht="12.75" customHeight="1" x14ac:dyDescent="0.2">
      <c r="C133" s="17" t="s">
        <v>924</v>
      </c>
      <c r="E133" s="24"/>
      <c r="F133" s="97"/>
      <c r="O133" s="38"/>
      <c r="Q133"/>
    </row>
    <row r="134" spans="1:17" ht="12.75" customHeight="1" x14ac:dyDescent="0.2">
      <c r="C134" s="17" t="s">
        <v>925</v>
      </c>
      <c r="E134" s="24"/>
      <c r="F134" s="97"/>
      <c r="O134" s="38"/>
      <c r="Q134"/>
    </row>
    <row r="135" spans="1:17" ht="12.75" customHeight="1" x14ac:dyDescent="0.2">
      <c r="C135" t="s">
        <v>926</v>
      </c>
      <c r="E135" s="24"/>
      <c r="F135" s="97"/>
      <c r="O135" s="38"/>
      <c r="Q135"/>
    </row>
    <row r="136" spans="1:17" ht="12.75" customHeight="1" x14ac:dyDescent="0.2">
      <c r="C136" s="17" t="s">
        <v>927</v>
      </c>
      <c r="E136" s="24"/>
      <c r="F136" s="97"/>
      <c r="O136" s="38"/>
      <c r="Q136"/>
    </row>
    <row r="137" spans="1:17" ht="12.75" customHeight="1" x14ac:dyDescent="0.2">
      <c r="C137" s="17" t="s">
        <v>928</v>
      </c>
      <c r="E137" s="24"/>
      <c r="F137" s="97"/>
      <c r="O137" s="38"/>
      <c r="Q137"/>
    </row>
    <row r="138" spans="1:17" ht="12.75" customHeight="1" x14ac:dyDescent="0.2">
      <c r="C138" s="17" t="s">
        <v>929</v>
      </c>
      <c r="E138" s="24"/>
      <c r="F138" s="97"/>
      <c r="O138" s="38"/>
      <c r="Q138"/>
    </row>
    <row r="139" spans="1:17" ht="12.75" customHeight="1" x14ac:dyDescent="0.2">
      <c r="E139" s="24"/>
      <c r="F139" s="97"/>
      <c r="O139" s="38"/>
      <c r="Q139"/>
    </row>
    <row r="140" spans="1:17" x14ac:dyDescent="0.2">
      <c r="A140" s="187" t="s">
        <v>165</v>
      </c>
      <c r="B140" s="187"/>
      <c r="C140" s="1" t="s">
        <v>889</v>
      </c>
      <c r="E140" s="24"/>
      <c r="F140" s="97"/>
      <c r="O140" s="38"/>
      <c r="Q140"/>
    </row>
    <row r="141" spans="1:17" x14ac:dyDescent="0.2">
      <c r="D141" t="s">
        <v>930</v>
      </c>
      <c r="E141" s="24">
        <f>E_51</f>
        <v>0</v>
      </c>
      <c r="F141" s="97" t="s">
        <v>608</v>
      </c>
      <c r="O141" s="38"/>
      <c r="Q141"/>
    </row>
    <row r="142" spans="1:17" x14ac:dyDescent="0.2">
      <c r="D142" t="s">
        <v>931</v>
      </c>
      <c r="E142" s="25">
        <f>E_52</f>
        <v>0</v>
      </c>
      <c r="F142" s="97" t="s">
        <v>610</v>
      </c>
      <c r="O142" s="38"/>
      <c r="Q142"/>
    </row>
    <row r="143" spans="1:17" x14ac:dyDescent="0.2">
      <c r="D143" s="17" t="s">
        <v>932</v>
      </c>
      <c r="E143" s="26">
        <f>SUM(E141:E142)</f>
        <v>0</v>
      </c>
      <c r="F143" s="97"/>
      <c r="O143" s="38"/>
      <c r="Q143"/>
    </row>
    <row r="144" spans="1:17" ht="12.75" customHeight="1" x14ac:dyDescent="0.2">
      <c r="D144" s="20"/>
      <c r="E144" s="41"/>
      <c r="F144" s="97"/>
      <c r="O144" s="38"/>
      <c r="Q144"/>
    </row>
    <row r="145" spans="1:17" x14ac:dyDescent="0.2">
      <c r="A145" s="187" t="s">
        <v>168</v>
      </c>
      <c r="B145" s="187"/>
      <c r="C145" s="1" t="s">
        <v>933</v>
      </c>
      <c r="E145" s="24"/>
      <c r="F145" s="97"/>
      <c r="O145" s="38"/>
      <c r="Q145"/>
    </row>
    <row r="146" spans="1:17" x14ac:dyDescent="0.2">
      <c r="A146" s="57"/>
      <c r="C146" s="20" t="s">
        <v>934</v>
      </c>
      <c r="E146" s="24"/>
      <c r="F146" s="97"/>
      <c r="O146" s="38"/>
      <c r="Q146"/>
    </row>
    <row r="147" spans="1:17" x14ac:dyDescent="0.2">
      <c r="D147" t="s">
        <v>935</v>
      </c>
      <c r="E147" s="24">
        <f>-E_1</f>
        <v>0</v>
      </c>
      <c r="F147" s="98" t="s">
        <v>480</v>
      </c>
      <c r="O147" s="38"/>
      <c r="Q147"/>
    </row>
    <row r="148" spans="1:17" x14ac:dyDescent="0.2">
      <c r="D148" s="1" t="s">
        <v>936</v>
      </c>
      <c r="E148" s="24">
        <f>-E_2</f>
        <v>0</v>
      </c>
      <c r="F148" s="98" t="s">
        <v>482</v>
      </c>
      <c r="O148" s="38"/>
      <c r="Q148"/>
    </row>
    <row r="149" spans="1:17" x14ac:dyDescent="0.2">
      <c r="D149" s="1" t="s">
        <v>937</v>
      </c>
      <c r="E149" s="24">
        <f>-E_3</f>
        <v>0</v>
      </c>
      <c r="F149" s="98" t="s">
        <v>484</v>
      </c>
      <c r="O149" s="38"/>
      <c r="Q149"/>
    </row>
    <row r="150" spans="1:17" x14ac:dyDescent="0.2">
      <c r="D150" s="1" t="s">
        <v>938</v>
      </c>
      <c r="E150" s="24">
        <f>-E_4</f>
        <v>0</v>
      </c>
      <c r="F150" s="98" t="s">
        <v>486</v>
      </c>
      <c r="O150" s="38"/>
      <c r="Q150"/>
    </row>
    <row r="151" spans="1:17" x14ac:dyDescent="0.2">
      <c r="D151" s="1" t="s">
        <v>939</v>
      </c>
      <c r="E151" s="24">
        <f>-E_5</f>
        <v>0</v>
      </c>
      <c r="F151" s="98" t="s">
        <v>488</v>
      </c>
      <c r="O151" s="38"/>
      <c r="Q151"/>
    </row>
    <row r="152" spans="1:17" x14ac:dyDescent="0.2">
      <c r="D152" s="1" t="s">
        <v>940</v>
      </c>
      <c r="E152" s="24">
        <f>-E_9</f>
        <v>0</v>
      </c>
      <c r="F152" s="98" t="s">
        <v>498</v>
      </c>
      <c r="O152" s="38"/>
      <c r="Q152"/>
    </row>
    <row r="153" spans="1:17" x14ac:dyDescent="0.2">
      <c r="D153" t="s">
        <v>941</v>
      </c>
      <c r="E153" s="25">
        <f>-E_15</f>
        <v>0</v>
      </c>
      <c r="F153" s="98" t="s">
        <v>510</v>
      </c>
      <c r="O153" s="38"/>
      <c r="Q153"/>
    </row>
    <row r="154" spans="1:17" x14ac:dyDescent="0.2">
      <c r="D154" s="57" t="s">
        <v>932</v>
      </c>
      <c r="E154" s="26">
        <f>SUM(E147:E153)</f>
        <v>0</v>
      </c>
      <c r="F154" s="98"/>
      <c r="O154" s="38"/>
      <c r="Q154"/>
    </row>
    <row r="155" spans="1:17" ht="12.75" customHeight="1" x14ac:dyDescent="0.2">
      <c r="D155" s="20"/>
      <c r="E155" s="41"/>
      <c r="F155" s="98"/>
      <c r="O155" s="38"/>
      <c r="Q155"/>
    </row>
    <row r="156" spans="1:17" x14ac:dyDescent="0.2">
      <c r="A156" s="187" t="s">
        <v>172</v>
      </c>
      <c r="B156" s="187"/>
      <c r="C156" s="1" t="s">
        <v>942</v>
      </c>
      <c r="E156" s="41"/>
      <c r="F156" s="98"/>
      <c r="O156" s="38"/>
      <c r="Q156"/>
    </row>
    <row r="157" spans="1:17" x14ac:dyDescent="0.2">
      <c r="A157" s="57"/>
      <c r="C157" s="20" t="s">
        <v>943</v>
      </c>
      <c r="E157" s="41"/>
      <c r="F157" s="98"/>
      <c r="O157" s="38"/>
      <c r="Q157"/>
    </row>
    <row r="158" spans="1:17" x14ac:dyDescent="0.2">
      <c r="D158" t="s">
        <v>944</v>
      </c>
      <c r="E158" s="24">
        <f>-E_49</f>
        <v>0</v>
      </c>
      <c r="F158" s="98" t="s">
        <v>604</v>
      </c>
      <c r="O158" s="38"/>
      <c r="Q158"/>
    </row>
    <row r="159" spans="1:17" x14ac:dyDescent="0.2">
      <c r="D159" t="s">
        <v>945</v>
      </c>
      <c r="E159" s="25">
        <f>E_50</f>
        <v>0</v>
      </c>
      <c r="F159" s="98" t="s">
        <v>606</v>
      </c>
      <c r="O159" s="38"/>
      <c r="Q159"/>
    </row>
    <row r="160" spans="1:17" x14ac:dyDescent="0.2">
      <c r="D160" s="57" t="s">
        <v>932</v>
      </c>
      <c r="E160" s="25">
        <f>SUM(E158:E159)</f>
        <v>0</v>
      </c>
      <c r="F160" s="98"/>
      <c r="O160" s="38"/>
      <c r="Q160"/>
    </row>
    <row r="161" spans="1:17" ht="12.75" customHeight="1" x14ac:dyDescent="0.2">
      <c r="D161" s="20"/>
      <c r="E161" s="41"/>
      <c r="F161" s="98"/>
      <c r="O161" s="38"/>
      <c r="Q161"/>
    </row>
    <row r="162" spans="1:17" x14ac:dyDescent="0.2">
      <c r="A162" s="187" t="s">
        <v>176</v>
      </c>
      <c r="B162" s="187"/>
      <c r="C162" s="1" t="s">
        <v>119</v>
      </c>
      <c r="E162" s="24"/>
      <c r="F162" s="98"/>
      <c r="O162" s="38"/>
      <c r="Q162"/>
    </row>
    <row r="163" spans="1:17" x14ac:dyDescent="0.2">
      <c r="A163" s="57"/>
      <c r="C163" s="20" t="s">
        <v>946</v>
      </c>
      <c r="E163" s="24"/>
      <c r="F163" s="98"/>
      <c r="O163" s="38"/>
      <c r="Q163"/>
    </row>
    <row r="164" spans="1:17" x14ac:dyDescent="0.2">
      <c r="D164" t="s">
        <v>947</v>
      </c>
      <c r="E164" s="24">
        <f>E_21</f>
        <v>0</v>
      </c>
      <c r="F164" s="98" t="s">
        <v>528</v>
      </c>
      <c r="O164" s="38"/>
      <c r="Q164"/>
    </row>
    <row r="165" spans="1:17" x14ac:dyDescent="0.2">
      <c r="D165" t="s">
        <v>948</v>
      </c>
      <c r="E165" s="25">
        <f>E_23</f>
        <v>0</v>
      </c>
      <c r="F165" s="98" t="s">
        <v>532</v>
      </c>
      <c r="O165" s="38"/>
      <c r="Q165"/>
    </row>
    <row r="166" spans="1:17" x14ac:dyDescent="0.2">
      <c r="D166" s="17" t="s">
        <v>932</v>
      </c>
      <c r="E166" s="26">
        <f>SUM(E164:E165)</f>
        <v>0</v>
      </c>
      <c r="F166" s="98"/>
      <c r="O166" s="38"/>
      <c r="Q166"/>
    </row>
    <row r="167" spans="1:17" ht="12.75" customHeight="1" x14ac:dyDescent="0.2">
      <c r="D167" s="20"/>
      <c r="E167" s="41"/>
      <c r="F167" s="98"/>
      <c r="O167" s="38"/>
      <c r="Q167"/>
    </row>
    <row r="168" spans="1:17" ht="19.5" x14ac:dyDescent="0.35">
      <c r="E168" s="146" t="s">
        <v>880</v>
      </c>
      <c r="F168" s="98"/>
      <c r="O168" s="38"/>
      <c r="Q168"/>
    </row>
    <row r="169" spans="1:17" ht="20.25" x14ac:dyDescent="0.3">
      <c r="A169" s="188" t="str">
        <f>Steps!$E$6</f>
        <v>Name of College</v>
      </c>
      <c r="B169" s="188"/>
      <c r="C169" s="188"/>
      <c r="D169" s="188"/>
      <c r="E169" s="188"/>
      <c r="F169" s="98"/>
      <c r="O169" s="38"/>
      <c r="Q169"/>
    </row>
    <row r="170" spans="1:17" ht="20.25" x14ac:dyDescent="0.3">
      <c r="A170" s="188" t="s">
        <v>864</v>
      </c>
      <c r="B170" s="188"/>
      <c r="C170" s="188"/>
      <c r="D170" s="188"/>
      <c r="E170" s="188"/>
      <c r="F170" s="98"/>
      <c r="O170" s="38"/>
      <c r="Q170"/>
    </row>
    <row r="171" spans="1:17" ht="20.25" x14ac:dyDescent="0.3">
      <c r="A171" s="188" t="str">
        <f>A5</f>
        <v>For the Fiscal Year Ended June 30, 2025</v>
      </c>
      <c r="B171" s="188"/>
      <c r="C171" s="188"/>
      <c r="D171" s="188"/>
      <c r="E171" s="188"/>
      <c r="F171" s="98"/>
      <c r="O171" s="38"/>
      <c r="Q171"/>
    </row>
    <row r="172" spans="1:17" ht="13.5" thickBot="1" x14ac:dyDescent="0.25">
      <c r="A172" s="11"/>
      <c r="B172" s="11"/>
      <c r="C172" s="11"/>
      <c r="D172" s="11"/>
      <c r="E172" s="11"/>
      <c r="F172" s="98"/>
      <c r="O172" s="38"/>
      <c r="Q172"/>
    </row>
    <row r="173" spans="1:17" x14ac:dyDescent="0.2">
      <c r="D173" s="20"/>
      <c r="E173" s="41"/>
      <c r="F173" s="98"/>
      <c r="O173" s="38"/>
      <c r="Q173"/>
    </row>
    <row r="174" spans="1:17" x14ac:dyDescent="0.2">
      <c r="D174" s="20"/>
      <c r="E174" s="41"/>
      <c r="F174" s="98"/>
      <c r="O174" s="38"/>
      <c r="Q174"/>
    </row>
    <row r="175" spans="1:17" x14ac:dyDescent="0.2">
      <c r="A175" s="187" t="s">
        <v>179</v>
      </c>
      <c r="B175" s="187"/>
      <c r="C175" t="s">
        <v>949</v>
      </c>
      <c r="D175" s="20"/>
      <c r="E175" s="41"/>
      <c r="F175" s="98"/>
      <c r="O175" s="38"/>
      <c r="Q175"/>
    </row>
    <row r="176" spans="1:17" x14ac:dyDescent="0.2">
      <c r="C176" s="20" t="s">
        <v>946</v>
      </c>
      <c r="D176" s="20"/>
      <c r="E176" s="41"/>
      <c r="F176" s="98"/>
      <c r="O176" s="38"/>
      <c r="Q176"/>
    </row>
    <row r="177" spans="1:17" x14ac:dyDescent="0.2">
      <c r="D177" t="s">
        <v>950</v>
      </c>
      <c r="E177" s="24">
        <f>E_30</f>
        <v>0</v>
      </c>
      <c r="F177" s="98" t="s">
        <v>951</v>
      </c>
      <c r="O177" s="38"/>
      <c r="Q177"/>
    </row>
    <row r="178" spans="1:17" x14ac:dyDescent="0.2">
      <c r="D178" t="s">
        <v>952</v>
      </c>
      <c r="E178" s="25">
        <f>E_31</f>
        <v>0</v>
      </c>
      <c r="F178" s="98" t="s">
        <v>953</v>
      </c>
      <c r="O178" s="38"/>
      <c r="Q178"/>
    </row>
    <row r="179" spans="1:17" x14ac:dyDescent="0.2">
      <c r="D179" s="17" t="s">
        <v>932</v>
      </c>
      <c r="E179" s="25">
        <f>SUM(E177:E178)</f>
        <v>0</v>
      </c>
      <c r="F179" s="98"/>
      <c r="O179" s="38"/>
      <c r="Q179"/>
    </row>
    <row r="180" spans="1:17" x14ac:dyDescent="0.2">
      <c r="D180" s="20"/>
      <c r="E180" s="41"/>
      <c r="F180" s="98"/>
      <c r="O180" s="38"/>
      <c r="Q180"/>
    </row>
    <row r="181" spans="1:17" x14ac:dyDescent="0.2">
      <c r="D181" s="20"/>
      <c r="E181" s="41"/>
      <c r="F181" s="98"/>
      <c r="O181" s="38"/>
      <c r="Q181"/>
    </row>
    <row r="182" spans="1:17" x14ac:dyDescent="0.2">
      <c r="A182" s="42" t="s">
        <v>954</v>
      </c>
      <c r="D182" s="20"/>
      <c r="E182" s="41"/>
      <c r="F182" s="98"/>
      <c r="O182" s="38"/>
      <c r="Q182"/>
    </row>
    <row r="183" spans="1:17" ht="12.75" customHeight="1" x14ac:dyDescent="0.2">
      <c r="D183" s="20"/>
      <c r="E183" s="41"/>
      <c r="F183" s="98"/>
      <c r="O183" s="38"/>
      <c r="Q183"/>
    </row>
    <row r="184" spans="1:17" x14ac:dyDescent="0.2">
      <c r="A184" s="187" t="s">
        <v>184</v>
      </c>
      <c r="B184" s="187"/>
      <c r="C184" s="17" t="s">
        <v>955</v>
      </c>
      <c r="D184" s="20"/>
      <c r="E184" s="41"/>
      <c r="F184" s="98"/>
      <c r="O184" s="38"/>
      <c r="Q184"/>
    </row>
    <row r="185" spans="1:17" x14ac:dyDescent="0.2">
      <c r="C185" s="17" t="s">
        <v>956</v>
      </c>
      <c r="D185" s="20"/>
      <c r="E185" s="41"/>
      <c r="F185" s="98"/>
      <c r="O185" s="38"/>
      <c r="Q185"/>
    </row>
    <row r="186" spans="1:17" x14ac:dyDescent="0.2">
      <c r="C186" s="17" t="s">
        <v>957</v>
      </c>
      <c r="D186" s="20"/>
      <c r="E186" s="41"/>
      <c r="F186" s="98"/>
      <c r="O186" s="38"/>
      <c r="Q186"/>
    </row>
    <row r="187" spans="1:17" x14ac:dyDescent="0.2">
      <c r="C187" s="17" t="s">
        <v>958</v>
      </c>
      <c r="D187" s="20"/>
      <c r="E187" s="41"/>
      <c r="F187" s="98"/>
      <c r="O187" s="38"/>
      <c r="Q187"/>
    </row>
    <row r="188" spans="1:17" x14ac:dyDescent="0.2">
      <c r="C188" s="17" t="s">
        <v>959</v>
      </c>
      <c r="D188" s="20"/>
      <c r="E188" s="41"/>
      <c r="F188" s="98"/>
      <c r="O188" s="38"/>
      <c r="Q188"/>
    </row>
    <row r="189" spans="1:17" x14ac:dyDescent="0.2">
      <c r="C189" s="17" t="s">
        <v>960</v>
      </c>
      <c r="D189" s="20"/>
      <c r="E189" s="41"/>
      <c r="F189" s="98"/>
      <c r="O189" s="38"/>
      <c r="Q189"/>
    </row>
    <row r="190" spans="1:17" x14ac:dyDescent="0.2">
      <c r="C190" s="17" t="s">
        <v>961</v>
      </c>
      <c r="D190" s="20"/>
      <c r="E190" s="41"/>
      <c r="F190" s="98"/>
      <c r="O190" s="38"/>
      <c r="Q190"/>
    </row>
    <row r="191" spans="1:17" x14ac:dyDescent="0.2">
      <c r="C191" s="17" t="s">
        <v>962</v>
      </c>
      <c r="D191" s="20"/>
      <c r="E191" s="41"/>
      <c r="F191" s="98"/>
      <c r="O191" s="38"/>
      <c r="Q191"/>
    </row>
    <row r="192" spans="1:17" x14ac:dyDescent="0.2">
      <c r="C192" s="17" t="s">
        <v>963</v>
      </c>
      <c r="D192" s="20"/>
      <c r="E192" s="41"/>
      <c r="F192" s="98"/>
      <c r="O192" s="38"/>
      <c r="Q192"/>
    </row>
    <row r="193" spans="1:17" ht="12.75" customHeight="1" x14ac:dyDescent="0.2">
      <c r="D193" s="20"/>
      <c r="E193" s="41"/>
      <c r="F193" s="98"/>
      <c r="O193" s="38"/>
      <c r="Q193"/>
    </row>
    <row r="194" spans="1:17" x14ac:dyDescent="0.2">
      <c r="A194" s="187" t="s">
        <v>188</v>
      </c>
      <c r="B194" s="187"/>
      <c r="C194" s="1" t="s">
        <v>964</v>
      </c>
      <c r="E194" s="41"/>
      <c r="F194" s="98"/>
      <c r="O194" s="38"/>
      <c r="Q194"/>
    </row>
    <row r="195" spans="1:17" x14ac:dyDescent="0.2">
      <c r="D195" t="s">
        <v>965</v>
      </c>
      <c r="E195" s="24">
        <f>'Exh E'!D48</f>
        <v>0</v>
      </c>
      <c r="F195" s="98"/>
      <c r="O195" s="38"/>
      <c r="Q195"/>
    </row>
    <row r="196" spans="1:17" x14ac:dyDescent="0.2">
      <c r="D196" t="s">
        <v>966</v>
      </c>
      <c r="E196" s="24">
        <f>'Exh E'!D50</f>
        <v>0</v>
      </c>
      <c r="F196" s="98"/>
      <c r="O196" s="38"/>
      <c r="Q196"/>
    </row>
    <row r="197" spans="1:17" x14ac:dyDescent="0.2">
      <c r="D197" t="s">
        <v>967</v>
      </c>
      <c r="E197" s="24">
        <f>D_6</f>
        <v>0</v>
      </c>
      <c r="F197" s="98" t="s">
        <v>466</v>
      </c>
      <c r="O197" s="38"/>
      <c r="Q197"/>
    </row>
    <row r="198" spans="1:17" x14ac:dyDescent="0.2">
      <c r="D198" s="1" t="s">
        <v>968</v>
      </c>
      <c r="E198" s="24">
        <f>D_3</f>
        <v>0</v>
      </c>
      <c r="F198" s="98" t="s">
        <v>448</v>
      </c>
      <c r="O198" s="38"/>
      <c r="Q198"/>
    </row>
    <row r="199" spans="1:17" x14ac:dyDescent="0.2">
      <c r="D199" s="1" t="s">
        <v>969</v>
      </c>
      <c r="E199" s="25">
        <f>D_9</f>
        <v>0</v>
      </c>
      <c r="F199" s="98" t="s">
        <v>970</v>
      </c>
      <c r="O199" s="38"/>
      <c r="Q199"/>
    </row>
    <row r="200" spans="1:17" x14ac:dyDescent="0.2">
      <c r="D200" s="57" t="s">
        <v>932</v>
      </c>
      <c r="E200" s="25">
        <f>SUM(E195:E199)</f>
        <v>0</v>
      </c>
      <c r="F200" s="98"/>
      <c r="O200" s="38"/>
      <c r="Q200"/>
    </row>
    <row r="201" spans="1:17" ht="12.75" customHeight="1" x14ac:dyDescent="0.2">
      <c r="D201" s="20"/>
      <c r="E201" s="41"/>
      <c r="F201" s="98"/>
      <c r="O201" s="38"/>
      <c r="Q201"/>
    </row>
    <row r="202" spans="1:17" x14ac:dyDescent="0.2">
      <c r="A202" s="187" t="s">
        <v>191</v>
      </c>
      <c r="B202" s="187"/>
      <c r="C202" s="1" t="s">
        <v>971</v>
      </c>
      <c r="E202" s="41"/>
      <c r="F202" s="98"/>
      <c r="O202" s="38"/>
      <c r="Q202"/>
    </row>
    <row r="203" spans="1:17" x14ac:dyDescent="0.2">
      <c r="A203" s="57"/>
      <c r="C203" s="1"/>
      <c r="D203" t="s">
        <v>811</v>
      </c>
      <c r="E203" s="24">
        <f>C_3</f>
        <v>0</v>
      </c>
      <c r="F203" s="98" t="s">
        <v>393</v>
      </c>
      <c r="O203" s="38"/>
      <c r="Q203"/>
    </row>
    <row r="204" spans="1:17" x14ac:dyDescent="0.2">
      <c r="A204" s="57"/>
      <c r="C204" s="1"/>
      <c r="D204" s="1" t="s">
        <v>972</v>
      </c>
      <c r="E204" s="24">
        <f>E_54</f>
        <v>0</v>
      </c>
      <c r="F204" s="98" t="s">
        <v>395</v>
      </c>
      <c r="O204" s="38"/>
      <c r="Q204"/>
    </row>
    <row r="205" spans="1:17" x14ac:dyDescent="0.2">
      <c r="A205" s="57"/>
      <c r="C205" s="1"/>
      <c r="D205" t="s">
        <v>812</v>
      </c>
      <c r="E205" s="24">
        <f>-C_8</f>
        <v>0</v>
      </c>
      <c r="F205" s="98" t="s">
        <v>411</v>
      </c>
      <c r="O205" s="38"/>
      <c r="Q205"/>
    </row>
    <row r="206" spans="1:17" x14ac:dyDescent="0.2">
      <c r="A206" s="57"/>
      <c r="C206" s="1"/>
      <c r="D206" t="s">
        <v>792</v>
      </c>
      <c r="E206" s="25">
        <f>E_38</f>
        <v>0</v>
      </c>
      <c r="F206" s="98" t="s">
        <v>560</v>
      </c>
      <c r="O206" s="38"/>
      <c r="Q206"/>
    </row>
    <row r="207" spans="1:17" x14ac:dyDescent="0.2">
      <c r="A207" s="57"/>
      <c r="B207" s="1"/>
      <c r="D207" s="57" t="s">
        <v>932</v>
      </c>
      <c r="E207" s="26">
        <f>SUM(E203:E206)</f>
        <v>0</v>
      </c>
      <c r="F207" s="98"/>
      <c r="O207" s="38"/>
      <c r="Q207"/>
    </row>
    <row r="208" spans="1:17" ht="12.75" customHeight="1" x14ac:dyDescent="0.2">
      <c r="D208" s="20"/>
      <c r="E208" s="41"/>
      <c r="F208" s="98"/>
      <c r="O208" s="38"/>
      <c r="Q208"/>
    </row>
    <row r="209" spans="1:17" x14ac:dyDescent="0.2">
      <c r="A209" s="187" t="s">
        <v>198</v>
      </c>
      <c r="B209" s="187"/>
      <c r="C209" s="1" t="s">
        <v>973</v>
      </c>
      <c r="E209" s="41"/>
      <c r="F209" s="98"/>
      <c r="O209" s="38"/>
      <c r="Q209"/>
    </row>
    <row r="210" spans="1:17" x14ac:dyDescent="0.2">
      <c r="D210" t="s">
        <v>974</v>
      </c>
      <c r="E210" s="24">
        <f>IF(E_6+E_7+E_8+E_58&gt;0,E_6+E_7+E_8+E_58,0)</f>
        <v>0</v>
      </c>
      <c r="F210" s="98" t="s">
        <v>975</v>
      </c>
      <c r="O210" s="38"/>
      <c r="Q210"/>
    </row>
    <row r="211" spans="1:17" x14ac:dyDescent="0.2">
      <c r="D211" t="s">
        <v>976</v>
      </c>
      <c r="E211" s="24">
        <f>IF(E_10+E_11&gt;0,E_10+E_11,0)</f>
        <v>0</v>
      </c>
      <c r="F211" s="98" t="s">
        <v>977</v>
      </c>
      <c r="O211" s="38"/>
      <c r="Q211"/>
    </row>
    <row r="212" spans="1:17" x14ac:dyDescent="0.2">
      <c r="D212" t="s">
        <v>978</v>
      </c>
      <c r="E212" s="24">
        <f>IF(E_12+E_13&gt;0,E_12+E_13,0)</f>
        <v>0</v>
      </c>
      <c r="F212" s="98" t="s">
        <v>979</v>
      </c>
      <c r="O212" s="38"/>
      <c r="Q212"/>
    </row>
    <row r="213" spans="1:17" x14ac:dyDescent="0.2">
      <c r="D213" t="s">
        <v>980</v>
      </c>
      <c r="E213" s="24">
        <f>IF(E_14&gt;0,E_14,0)</f>
        <v>0</v>
      </c>
      <c r="F213" s="98" t="s">
        <v>508</v>
      </c>
      <c r="O213" s="38"/>
      <c r="Q213"/>
    </row>
    <row r="214" spans="1:17" x14ac:dyDescent="0.2">
      <c r="D214" s="1" t="s">
        <v>981</v>
      </c>
      <c r="E214" s="24">
        <f>E_84</f>
        <v>0</v>
      </c>
      <c r="F214" s="98" t="s">
        <v>592</v>
      </c>
      <c r="O214" s="38"/>
      <c r="Q214"/>
    </row>
    <row r="215" spans="1:17" x14ac:dyDescent="0.2">
      <c r="D215" s="1" t="s">
        <v>982</v>
      </c>
      <c r="E215" s="24">
        <f>'Exh A'!I24+'Exh A'!I38</f>
        <v>0</v>
      </c>
      <c r="F215" s="98" t="s">
        <v>896</v>
      </c>
      <c r="O215" s="38"/>
      <c r="Q215"/>
    </row>
    <row r="216" spans="1:17" x14ac:dyDescent="0.2">
      <c r="D216" t="s">
        <v>983</v>
      </c>
      <c r="E216" s="24">
        <f>IF('Exh E'!H31&gt;0,'Exh E'!H31,0)</f>
        <v>0</v>
      </c>
      <c r="F216" s="98" t="s">
        <v>984</v>
      </c>
      <c r="G216" s="64"/>
      <c r="O216" s="38"/>
      <c r="Q216"/>
    </row>
    <row r="217" spans="1:17" x14ac:dyDescent="0.2">
      <c r="D217" t="s">
        <v>985</v>
      </c>
      <c r="E217" s="24">
        <f>IF('Exh E'!H37&gt;0,'Exh E'!H37,0)</f>
        <v>0</v>
      </c>
      <c r="F217" s="98" t="s">
        <v>986</v>
      </c>
      <c r="O217" s="38"/>
      <c r="Q217"/>
    </row>
    <row r="218" spans="1:17" x14ac:dyDescent="0.2">
      <c r="D218" t="s">
        <v>987</v>
      </c>
      <c r="E218" s="24">
        <f>IF('Exh E'!H43&gt;0,'Exh E'!H43,0)</f>
        <v>0</v>
      </c>
      <c r="F218" s="98" t="s">
        <v>988</v>
      </c>
      <c r="O218" s="38"/>
      <c r="Q218"/>
    </row>
    <row r="219" spans="1:17" x14ac:dyDescent="0.2">
      <c r="D219" s="17" t="s">
        <v>932</v>
      </c>
      <c r="E219" s="26">
        <f>SUM(E210:E218)</f>
        <v>0</v>
      </c>
      <c r="F219" s="49"/>
      <c r="O219" s="38"/>
      <c r="Q219"/>
    </row>
    <row r="220" spans="1:17" x14ac:dyDescent="0.2">
      <c r="D220" s="17"/>
      <c r="E220" s="24"/>
      <c r="F220" s="49"/>
      <c r="O220" s="38"/>
      <c r="Q220"/>
    </row>
    <row r="221" spans="1:17" x14ac:dyDescent="0.2">
      <c r="A221" s="187" t="s">
        <v>209</v>
      </c>
      <c r="B221" s="187"/>
      <c r="C221" s="1" t="s">
        <v>989</v>
      </c>
      <c r="D221" s="17"/>
      <c r="E221" s="24"/>
      <c r="F221" s="49"/>
      <c r="O221" s="38"/>
      <c r="Q221"/>
    </row>
    <row r="222" spans="1:17" x14ac:dyDescent="0.2">
      <c r="A222" s="143"/>
      <c r="B222" s="143"/>
      <c r="C222" s="1"/>
      <c r="D222" s="1" t="s">
        <v>990</v>
      </c>
      <c r="E222" s="24">
        <f>E_46</f>
        <v>0</v>
      </c>
      <c r="F222" s="98" t="s">
        <v>426</v>
      </c>
      <c r="O222" s="38"/>
      <c r="Q222"/>
    </row>
    <row r="223" spans="1:17" x14ac:dyDescent="0.2">
      <c r="A223" s="143"/>
      <c r="B223" s="143"/>
      <c r="C223" s="1"/>
      <c r="D223" s="1" t="s">
        <v>991</v>
      </c>
      <c r="E223" s="24">
        <f>'Exh E'!D96</f>
        <v>0</v>
      </c>
      <c r="F223" s="98"/>
      <c r="O223" s="38"/>
      <c r="Q223"/>
    </row>
    <row r="224" spans="1:17" x14ac:dyDescent="0.2">
      <c r="D224" t="s">
        <v>661</v>
      </c>
      <c r="E224" s="25">
        <f>E_53</f>
        <v>0</v>
      </c>
      <c r="F224" s="98" t="s">
        <v>428</v>
      </c>
      <c r="O224" s="38"/>
      <c r="Q224"/>
    </row>
    <row r="225" spans="1:17" x14ac:dyDescent="0.2">
      <c r="D225" s="17" t="s">
        <v>932</v>
      </c>
      <c r="E225" s="26">
        <f>SUM(E222:E224)</f>
        <v>0</v>
      </c>
      <c r="F225" s="98"/>
      <c r="O225" s="38"/>
      <c r="Q225"/>
    </row>
    <row r="226" spans="1:17" ht="12.75" customHeight="1" x14ac:dyDescent="0.2">
      <c r="D226" s="20"/>
      <c r="E226" s="41"/>
      <c r="F226" s="49"/>
      <c r="O226" s="38"/>
      <c r="Q226"/>
    </row>
    <row r="227" spans="1:17" ht="19.5" customHeight="1" x14ac:dyDescent="0.35">
      <c r="E227" s="146" t="s">
        <v>880</v>
      </c>
      <c r="F227" s="49"/>
      <c r="O227" s="38"/>
      <c r="Q227"/>
    </row>
    <row r="228" spans="1:17" ht="20.25" customHeight="1" x14ac:dyDescent="0.3">
      <c r="A228" s="188" t="str">
        <f>Steps!$E$6</f>
        <v>Name of College</v>
      </c>
      <c r="B228" s="188"/>
      <c r="C228" s="188"/>
      <c r="D228" s="188"/>
      <c r="E228" s="188"/>
      <c r="F228" s="49"/>
      <c r="O228" s="38"/>
      <c r="Q228"/>
    </row>
    <row r="229" spans="1:17" ht="20.25" customHeight="1" x14ac:dyDescent="0.3">
      <c r="A229" s="188" t="s">
        <v>864</v>
      </c>
      <c r="B229" s="188"/>
      <c r="C229" s="188"/>
      <c r="D229" s="188"/>
      <c r="E229" s="188"/>
      <c r="F229" s="49"/>
      <c r="O229" s="38"/>
      <c r="Q229"/>
    </row>
    <row r="230" spans="1:17" ht="20.25" customHeight="1" x14ac:dyDescent="0.3">
      <c r="A230" s="188" t="str">
        <f>A5</f>
        <v>For the Fiscal Year Ended June 30, 2025</v>
      </c>
      <c r="B230" s="188"/>
      <c r="C230" s="188"/>
      <c r="D230" s="188"/>
      <c r="E230" s="188"/>
      <c r="F230" s="49"/>
      <c r="O230" s="38"/>
      <c r="Q230"/>
    </row>
    <row r="231" spans="1:17" ht="13.5" customHeight="1" thickBot="1" x14ac:dyDescent="0.25">
      <c r="A231" s="11"/>
      <c r="B231" s="11"/>
      <c r="C231" s="11"/>
      <c r="D231" s="11"/>
      <c r="E231" s="11"/>
      <c r="F231" s="49"/>
      <c r="O231" s="38"/>
      <c r="Q231"/>
    </row>
    <row r="232" spans="1:17" ht="12.75" customHeight="1" x14ac:dyDescent="0.2">
      <c r="D232" s="20"/>
      <c r="E232" s="41"/>
      <c r="F232" s="49"/>
      <c r="O232" s="38"/>
      <c r="Q232"/>
    </row>
    <row r="233" spans="1:17" ht="12.75" customHeight="1" x14ac:dyDescent="0.2">
      <c r="D233" s="20"/>
      <c r="E233" s="41"/>
      <c r="F233" s="49"/>
      <c r="O233" s="38"/>
      <c r="Q233"/>
    </row>
    <row r="234" spans="1:17" ht="12.75" customHeight="1" x14ac:dyDescent="0.2">
      <c r="A234" s="42" t="s">
        <v>992</v>
      </c>
      <c r="D234" s="20"/>
      <c r="E234" s="41"/>
      <c r="F234" s="49"/>
      <c r="O234" s="38"/>
      <c r="Q234"/>
    </row>
    <row r="235" spans="1:17" ht="12.75" customHeight="1" x14ac:dyDescent="0.2">
      <c r="D235" s="20"/>
      <c r="E235" s="41"/>
      <c r="F235" s="49"/>
      <c r="O235" s="38"/>
      <c r="Q235"/>
    </row>
    <row r="236" spans="1:17" ht="12.75" customHeight="1" x14ac:dyDescent="0.2">
      <c r="A236" s="187" t="s">
        <v>213</v>
      </c>
      <c r="B236" s="187"/>
      <c r="C236" t="s">
        <v>993</v>
      </c>
      <c r="D236" s="20"/>
      <c r="E236" s="41"/>
      <c r="F236" s="49"/>
      <c r="O236" s="38"/>
      <c r="Q236"/>
    </row>
    <row r="237" spans="1:17" ht="12.75" customHeight="1" x14ac:dyDescent="0.2">
      <c r="C237" t="s">
        <v>994</v>
      </c>
      <c r="D237" s="20"/>
      <c r="E237" s="41"/>
      <c r="F237" s="49"/>
      <c r="O237" s="38"/>
      <c r="Q237"/>
    </row>
    <row r="238" spans="1:17" ht="12.75" customHeight="1" x14ac:dyDescent="0.2">
      <c r="C238" t="s">
        <v>995</v>
      </c>
      <c r="D238" s="20"/>
      <c r="E238" s="41"/>
      <c r="F238" s="49"/>
      <c r="O238" s="38"/>
      <c r="Q238"/>
    </row>
    <row r="239" spans="1:17" ht="12.75" customHeight="1" x14ac:dyDescent="0.2">
      <c r="C239" t="s">
        <v>996</v>
      </c>
      <c r="D239" s="20"/>
      <c r="E239" s="41"/>
      <c r="F239" s="49"/>
      <c r="O239" s="38"/>
      <c r="Q239"/>
    </row>
    <row r="240" spans="1:17" ht="12.75" customHeight="1" x14ac:dyDescent="0.2">
      <c r="D240" s="20"/>
      <c r="E240" s="41"/>
      <c r="F240" s="49"/>
      <c r="O240" s="38"/>
      <c r="Q240"/>
    </row>
    <row r="241" spans="1:17" ht="12.75" customHeight="1" x14ac:dyDescent="0.2">
      <c r="D241" s="20"/>
      <c r="E241" s="41"/>
      <c r="F241" s="49"/>
      <c r="O241" s="38"/>
      <c r="Q241"/>
    </row>
    <row r="242" spans="1:17" x14ac:dyDescent="0.2">
      <c r="A242" s="42" t="s">
        <v>997</v>
      </c>
      <c r="Q242"/>
    </row>
    <row r="243" spans="1:17" ht="12.75" customHeight="1" x14ac:dyDescent="0.2">
      <c r="A243" s="42"/>
      <c r="Q243"/>
    </row>
    <row r="244" spans="1:17" ht="12.75" customHeight="1" x14ac:dyDescent="0.2">
      <c r="A244" s="42"/>
      <c r="B244" s="22" t="s">
        <v>24</v>
      </c>
      <c r="C244" t="s">
        <v>998</v>
      </c>
      <c r="Q244"/>
    </row>
    <row r="245" spans="1:17" x14ac:dyDescent="0.2">
      <c r="D245" t="s">
        <v>999</v>
      </c>
      <c r="E245" s="41" t="str">
        <f>IF(E57=ROUND(A_1+'Exh A'!I13+'Exh A'!I30,2),"OK","ERROR")</f>
        <v>OK</v>
      </c>
      <c r="Q245"/>
    </row>
    <row r="246" spans="1:17" x14ac:dyDescent="0.2">
      <c r="B246" s="22" t="s">
        <v>24</v>
      </c>
      <c r="C246" t="s">
        <v>1000</v>
      </c>
      <c r="Q246"/>
    </row>
    <row r="247" spans="1:17" x14ac:dyDescent="0.2">
      <c r="D247" t="s">
        <v>1001</v>
      </c>
      <c r="E247" s="41" t="str">
        <f>IF(E58=ROUND('Exh A'!G12+'Exh A'!G13+'Exh A'!G30,2),"OK","ERROR")</f>
        <v>OK</v>
      </c>
      <c r="Q247"/>
    </row>
    <row r="248" spans="1:17" x14ac:dyDescent="0.2">
      <c r="B248" s="22" t="s">
        <v>24</v>
      </c>
      <c r="C248" t="s">
        <v>1002</v>
      </c>
      <c r="Q248"/>
    </row>
    <row r="249" spans="1:17" x14ac:dyDescent="0.2">
      <c r="D249" t="s">
        <v>1001</v>
      </c>
      <c r="E249" s="41" t="str">
        <f>IF(E59=ROUND('Exh A'!E12+'Exh A'!E13+'Exh A'!E30,2),"OK","ERROR")</f>
        <v>OK</v>
      </c>
      <c r="Q249"/>
    </row>
    <row r="250" spans="1:17" x14ac:dyDescent="0.2">
      <c r="B250" s="22" t="s">
        <v>24</v>
      </c>
      <c r="C250" t="s">
        <v>1003</v>
      </c>
      <c r="Q250"/>
    </row>
    <row r="251" spans="1:17" x14ac:dyDescent="0.2">
      <c r="D251" t="s">
        <v>1004</v>
      </c>
      <c r="E251" s="41" t="str">
        <f>IF(E20=E104,"OK","ERROR")</f>
        <v>OK</v>
      </c>
      <c r="Q251"/>
    </row>
    <row r="252" spans="1:17" x14ac:dyDescent="0.2">
      <c r="B252" s="22" t="s">
        <v>24</v>
      </c>
      <c r="C252" t="s">
        <v>1005</v>
      </c>
      <c r="E252" s="41" t="str">
        <f>IF(E71='Exh B'!E28,"OK","ERROR")</f>
        <v>OK</v>
      </c>
      <c r="G252"/>
      <c r="I252"/>
      <c r="K252"/>
      <c r="M252"/>
      <c r="O252"/>
      <c r="Q252"/>
    </row>
    <row r="253" spans="1:17" x14ac:dyDescent="0.2">
      <c r="B253" s="22" t="s">
        <v>24</v>
      </c>
      <c r="C253" t="s">
        <v>1006</v>
      </c>
      <c r="E253" s="41" t="str">
        <f>IF(E74='Exh B'!E26,"OK","ERROR")</f>
        <v>OK</v>
      </c>
      <c r="G253"/>
      <c r="I253"/>
      <c r="K253"/>
      <c r="M253"/>
      <c r="O253"/>
      <c r="Q253"/>
    </row>
  </sheetData>
  <sheetProtection algorithmName="SHA-512" hashValue="PHPSW7hejn2RGDfqkLRHIwAHQAmSLkd42J+cXWT3mwhhz+Ge08noDd9GHcTcelno5RAwe/R0Wfcwwjw38CeMgg==" saltValue="K7RSH/8F5eUTJzF92fSf9A==" spinCount="100000" sheet="1" autoFilter="0"/>
  <mergeCells count="28">
    <mergeCell ref="A65:E65"/>
    <mergeCell ref="A169:E169"/>
    <mergeCell ref="A170:E170"/>
    <mergeCell ref="A171:E171"/>
    <mergeCell ref="A118:E118"/>
    <mergeCell ref="A145:B145"/>
    <mergeCell ref="A175:B175"/>
    <mergeCell ref="A221:B221"/>
    <mergeCell ref="A230:E230"/>
    <mergeCell ref="A228:E228"/>
    <mergeCell ref="A229:E229"/>
    <mergeCell ref="A209:B209"/>
    <mergeCell ref="A236:B236"/>
    <mergeCell ref="A3:E3"/>
    <mergeCell ref="A4:E4"/>
    <mergeCell ref="A5:E5"/>
    <mergeCell ref="D61:E61"/>
    <mergeCell ref="A202:B202"/>
    <mergeCell ref="A63:E63"/>
    <mergeCell ref="A64:E64"/>
    <mergeCell ref="A162:B162"/>
    <mergeCell ref="A184:B184"/>
    <mergeCell ref="A156:B156"/>
    <mergeCell ref="A194:B194"/>
    <mergeCell ref="A119:E119"/>
    <mergeCell ref="A120:E120"/>
    <mergeCell ref="A126:B126"/>
    <mergeCell ref="A140:B140"/>
  </mergeCells>
  <phoneticPr fontId="0" type="noConversion"/>
  <conditionalFormatting sqref="E247 E249 E245 E251:E253 E161 E155:E157 E232:E241 E208:E209 E201:E202 E226 E167 E173:E176 E180:E194 E144">
    <cfRule type="cellIs" dxfId="0" priority="1" stopIfTrue="1" operator="equal">
      <formula>"ERROR"</formula>
    </cfRule>
  </conditionalFormatting>
  <pageMargins left="0.75" right="0.75" top="0.5" bottom="0.5" header="0.5" footer="0.25"/>
  <pageSetup orientation="portrait" r:id="rId1"/>
  <headerFooter alignWithMargins="0">
    <oddFooter>Page &amp;P of &amp;N</oddFooter>
  </headerFooter>
  <rowBreaks count="4" manualBreakCount="4">
    <brk id="60" max="16383" man="1"/>
    <brk id="116" max="16383" man="1"/>
    <brk id="167" max="5" man="1"/>
    <brk id="226" max="5" man="1"/>
  </rowBreaks>
  <ignoredErrors>
    <ignoredError sqref="A140 A145 A156 A162 A175 A209 A202 A184 A194 A126 A236 A221" numberStoredAsText="1"/>
    <ignoredError sqref="E251 E11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7"/>
  <sheetViews>
    <sheetView zoomScaleNormal="100" workbookViewId="0">
      <selection activeCell="I22" sqref="I22"/>
    </sheetView>
  </sheetViews>
  <sheetFormatPr defaultRowHeight="12.75" x14ac:dyDescent="0.2"/>
  <cols>
    <col min="1" max="3" width="2.7109375" customWidth="1"/>
    <col min="4" max="4" width="26.42578125" customWidth="1"/>
    <col min="5" max="5" width="52.5703125" customWidth="1"/>
    <col min="6" max="6" width="8.85546875" customWidth="1"/>
  </cols>
  <sheetData>
    <row r="1" spans="1:6" ht="15" x14ac:dyDescent="0.2">
      <c r="A1" s="182" t="s">
        <v>1</v>
      </c>
      <c r="B1" s="182"/>
      <c r="C1" s="182"/>
      <c r="D1" s="182"/>
      <c r="E1" s="182"/>
      <c r="F1" s="182"/>
    </row>
    <row r="2" spans="1:6" ht="15" x14ac:dyDescent="0.2">
      <c r="A2" s="182" t="s">
        <v>2</v>
      </c>
      <c r="B2" s="182"/>
      <c r="C2" s="182"/>
      <c r="D2" s="182"/>
      <c r="E2" s="182"/>
      <c r="F2" s="182"/>
    </row>
    <row r="3" spans="1:6" ht="12.75" customHeight="1" x14ac:dyDescent="0.2">
      <c r="A3" s="142"/>
      <c r="B3" s="141"/>
      <c r="C3" s="141"/>
      <c r="D3" s="141"/>
      <c r="E3" s="141"/>
      <c r="F3" s="141"/>
    </row>
    <row r="4" spans="1:6" x14ac:dyDescent="0.2">
      <c r="A4" s="16" t="s">
        <v>16</v>
      </c>
    </row>
    <row r="5" spans="1:6" x14ac:dyDescent="0.2">
      <c r="A5" s="16"/>
      <c r="B5" t="s">
        <v>17</v>
      </c>
      <c r="E5" s="86"/>
    </row>
    <row r="6" spans="1:6" ht="15.75" customHeight="1" x14ac:dyDescent="0.2">
      <c r="C6" s="181" t="s">
        <v>18</v>
      </c>
      <c r="D6" s="181"/>
      <c r="E6" s="86" t="s">
        <v>19</v>
      </c>
    </row>
    <row r="7" spans="1:6" ht="12.75" customHeight="1" thickBot="1" x14ac:dyDescent="0.25">
      <c r="A7" s="23"/>
      <c r="B7" s="23"/>
      <c r="C7" s="23"/>
      <c r="D7" s="23"/>
      <c r="E7" s="23"/>
      <c r="F7" s="23"/>
    </row>
    <row r="8" spans="1:6" ht="15.75" customHeight="1" x14ac:dyDescent="0.2"/>
    <row r="9" spans="1:6" x14ac:dyDescent="0.2">
      <c r="A9" s="183" t="s">
        <v>20</v>
      </c>
      <c r="B9" s="183"/>
      <c r="C9" s="183"/>
      <c r="D9" s="183"/>
      <c r="E9" s="183"/>
      <c r="F9" s="183"/>
    </row>
    <row r="10" spans="1:6" ht="8.1" customHeight="1" x14ac:dyDescent="0.2">
      <c r="A10" s="142"/>
      <c r="B10" s="142"/>
      <c r="C10" s="142"/>
      <c r="D10" s="142"/>
      <c r="E10" s="142"/>
      <c r="F10" s="142"/>
    </row>
    <row r="11" spans="1:6" x14ac:dyDescent="0.2">
      <c r="F11" s="19" t="s">
        <v>21</v>
      </c>
    </row>
    <row r="12" spans="1:6" ht="13.5" customHeight="1" x14ac:dyDescent="0.2">
      <c r="A12" s="16" t="s">
        <v>22</v>
      </c>
    </row>
    <row r="13" spans="1:6" ht="13.5" customHeight="1" x14ac:dyDescent="0.2">
      <c r="B13" t="s">
        <v>23</v>
      </c>
    </row>
    <row r="14" spans="1:6" ht="13.5" customHeight="1" x14ac:dyDescent="0.2">
      <c r="B14" s="22" t="s">
        <v>24</v>
      </c>
      <c r="C14" t="s">
        <v>25</v>
      </c>
      <c r="F14" s="86"/>
    </row>
    <row r="15" spans="1:6" ht="13.5" customHeight="1" x14ac:dyDescent="0.2">
      <c r="B15" s="22" t="s">
        <v>24</v>
      </c>
      <c r="C15" t="s">
        <v>26</v>
      </c>
      <c r="F15" s="112"/>
    </row>
    <row r="16" spans="1:6" ht="13.5" customHeight="1" x14ac:dyDescent="0.2">
      <c r="B16" s="22"/>
      <c r="D16" t="s">
        <v>27</v>
      </c>
      <c r="F16" s="86"/>
    </row>
    <row r="17" spans="1:6" ht="13.5" customHeight="1" x14ac:dyDescent="0.2">
      <c r="B17" s="22" t="s">
        <v>24</v>
      </c>
      <c r="C17" t="s">
        <v>28</v>
      </c>
      <c r="F17" s="113"/>
    </row>
    <row r="18" spans="1:6" ht="13.5" customHeight="1" x14ac:dyDescent="0.2">
      <c r="B18" s="22" t="s">
        <v>24</v>
      </c>
      <c r="C18" t="s">
        <v>29</v>
      </c>
      <c r="F18" s="113"/>
    </row>
    <row r="19" spans="1:6" ht="13.5" customHeight="1" x14ac:dyDescent="0.2">
      <c r="B19" s="22" t="s">
        <v>24</v>
      </c>
      <c r="C19" t="s">
        <v>30</v>
      </c>
      <c r="F19" s="113"/>
    </row>
    <row r="20" spans="1:6" ht="13.5" customHeight="1" x14ac:dyDescent="0.2">
      <c r="B20" s="22" t="s">
        <v>24</v>
      </c>
      <c r="C20" t="s">
        <v>31</v>
      </c>
      <c r="F20" s="113"/>
    </row>
    <row r="21" spans="1:6" ht="13.5" customHeight="1" x14ac:dyDescent="0.2">
      <c r="F21" s="112"/>
    </row>
    <row r="22" spans="1:6" ht="13.5" customHeight="1" x14ac:dyDescent="0.2">
      <c r="A22" s="16" t="s">
        <v>32</v>
      </c>
      <c r="F22" s="112"/>
    </row>
    <row r="23" spans="1:6" ht="13.5" customHeight="1" x14ac:dyDescent="0.2">
      <c r="B23" t="s">
        <v>33</v>
      </c>
      <c r="F23" s="112"/>
    </row>
    <row r="24" spans="1:6" ht="13.5" customHeight="1" x14ac:dyDescent="0.2">
      <c r="B24" s="22" t="s">
        <v>24</v>
      </c>
      <c r="C24" t="s">
        <v>34</v>
      </c>
      <c r="F24" s="86"/>
    </row>
    <row r="25" spans="1:6" ht="13.5" customHeight="1" x14ac:dyDescent="0.2">
      <c r="B25" s="22" t="s">
        <v>24</v>
      </c>
      <c r="C25" t="s">
        <v>35</v>
      </c>
      <c r="F25" s="113"/>
    </row>
    <row r="26" spans="1:6" ht="13.5" customHeight="1" x14ac:dyDescent="0.2">
      <c r="B26" s="22" t="s">
        <v>24</v>
      </c>
      <c r="C26" t="s">
        <v>36</v>
      </c>
      <c r="F26" s="113"/>
    </row>
    <row r="27" spans="1:6" ht="13.5" customHeight="1" x14ac:dyDescent="0.2">
      <c r="B27" s="22" t="s">
        <v>24</v>
      </c>
      <c r="C27" t="s">
        <v>37</v>
      </c>
      <c r="F27" s="112"/>
    </row>
    <row r="28" spans="1:6" ht="13.5" customHeight="1" x14ac:dyDescent="0.2">
      <c r="B28" s="22"/>
      <c r="D28" t="s">
        <v>38</v>
      </c>
      <c r="F28" s="86"/>
    </row>
    <row r="29" spans="1:6" ht="13.5" customHeight="1" x14ac:dyDescent="0.2">
      <c r="B29" s="22" t="s">
        <v>24</v>
      </c>
      <c r="C29" t="s">
        <v>39</v>
      </c>
      <c r="F29" s="113"/>
    </row>
    <row r="30" spans="1:6" ht="13.5" customHeight="1" x14ac:dyDescent="0.2">
      <c r="B30" s="22" t="s">
        <v>24</v>
      </c>
      <c r="C30" t="s">
        <v>40</v>
      </c>
      <c r="F30" s="112"/>
    </row>
    <row r="31" spans="1:6" ht="13.5" customHeight="1" x14ac:dyDescent="0.2">
      <c r="B31" s="22"/>
      <c r="D31" t="s">
        <v>41</v>
      </c>
      <c r="F31" s="112"/>
    </row>
    <row r="32" spans="1:6" ht="13.5" customHeight="1" x14ac:dyDescent="0.2">
      <c r="B32" s="22"/>
      <c r="D32" t="s">
        <v>42</v>
      </c>
      <c r="F32" s="86"/>
    </row>
    <row r="33" spans="1:6" ht="13.5" customHeight="1" x14ac:dyDescent="0.2">
      <c r="B33" s="22" t="s">
        <v>24</v>
      </c>
      <c r="C33" t="s">
        <v>43</v>
      </c>
      <c r="F33" s="112"/>
    </row>
    <row r="34" spans="1:6" ht="13.5" customHeight="1" x14ac:dyDescent="0.2">
      <c r="B34" s="22"/>
      <c r="D34" t="s">
        <v>44</v>
      </c>
      <c r="F34" s="86"/>
    </row>
    <row r="35" spans="1:6" ht="13.5" customHeight="1" x14ac:dyDescent="0.2">
      <c r="B35" s="22" t="s">
        <v>24</v>
      </c>
      <c r="C35" t="s">
        <v>45</v>
      </c>
      <c r="F35" s="112"/>
    </row>
    <row r="36" spans="1:6" ht="13.5" customHeight="1" x14ac:dyDescent="0.2">
      <c r="B36" s="22"/>
      <c r="D36" t="s">
        <v>46</v>
      </c>
      <c r="F36" s="86"/>
    </row>
    <row r="37" spans="1:6" ht="13.5" customHeight="1" x14ac:dyDescent="0.2">
      <c r="B37" s="22" t="s">
        <v>24</v>
      </c>
      <c r="C37" t="s">
        <v>47</v>
      </c>
      <c r="F37" s="113"/>
    </row>
    <row r="38" spans="1:6" ht="13.5" customHeight="1" x14ac:dyDescent="0.2">
      <c r="C38" s="20"/>
      <c r="F38" s="114"/>
    </row>
    <row r="39" spans="1:6" ht="13.5" customHeight="1" x14ac:dyDescent="0.2">
      <c r="A39" s="16" t="s">
        <v>48</v>
      </c>
      <c r="F39" s="114"/>
    </row>
    <row r="40" spans="1:6" ht="13.5" customHeight="1" x14ac:dyDescent="0.2">
      <c r="B40" t="s">
        <v>49</v>
      </c>
      <c r="F40" s="114"/>
    </row>
    <row r="41" spans="1:6" ht="13.5" customHeight="1" x14ac:dyDescent="0.2">
      <c r="B41" s="22" t="s">
        <v>24</v>
      </c>
      <c r="C41" s="20" t="s">
        <v>50</v>
      </c>
      <c r="F41" s="115"/>
    </row>
    <row r="42" spans="1:6" ht="13.5" customHeight="1" x14ac:dyDescent="0.2">
      <c r="C42" s="20"/>
      <c r="F42" s="114"/>
    </row>
    <row r="43" spans="1:6" ht="13.5" customHeight="1" x14ac:dyDescent="0.2">
      <c r="A43" s="16" t="s">
        <v>51</v>
      </c>
      <c r="F43" s="112"/>
    </row>
    <row r="44" spans="1:6" ht="13.5" customHeight="1" x14ac:dyDescent="0.2">
      <c r="B44" t="s">
        <v>52</v>
      </c>
      <c r="F44" s="112"/>
    </row>
    <row r="45" spans="1:6" ht="13.5" customHeight="1" x14ac:dyDescent="0.2">
      <c r="B45" s="22" t="s">
        <v>24</v>
      </c>
      <c r="C45" s="20" t="s">
        <v>50</v>
      </c>
      <c r="F45" s="86"/>
    </row>
    <row r="46" spans="1:6" ht="13.5" customHeight="1" x14ac:dyDescent="0.2">
      <c r="B46" s="22"/>
      <c r="F46" s="112"/>
    </row>
    <row r="47" spans="1:6" ht="13.5" customHeight="1" x14ac:dyDescent="0.2">
      <c r="A47" s="16" t="s">
        <v>53</v>
      </c>
      <c r="F47" s="112"/>
    </row>
    <row r="48" spans="1:6" ht="13.5" customHeight="1" x14ac:dyDescent="0.2">
      <c r="B48" t="s">
        <v>54</v>
      </c>
      <c r="F48" s="112"/>
    </row>
    <row r="49" spans="1:6" ht="13.5" customHeight="1" x14ac:dyDescent="0.2">
      <c r="B49" s="22" t="s">
        <v>24</v>
      </c>
      <c r="C49" s="20" t="s">
        <v>55</v>
      </c>
      <c r="F49" s="86"/>
    </row>
    <row r="50" spans="1:6" ht="13.5" customHeight="1" x14ac:dyDescent="0.2">
      <c r="C50" s="20"/>
      <c r="F50" s="112"/>
    </row>
    <row r="51" spans="1:6" ht="13.5" customHeight="1" x14ac:dyDescent="0.2">
      <c r="A51" s="16" t="s">
        <v>56</v>
      </c>
      <c r="F51" s="112"/>
    </row>
    <row r="52" spans="1:6" ht="13.5" customHeight="1" x14ac:dyDescent="0.2">
      <c r="B52" t="s">
        <v>57</v>
      </c>
      <c r="F52" s="112"/>
    </row>
    <row r="53" spans="1:6" ht="13.5" customHeight="1" x14ac:dyDescent="0.2">
      <c r="B53" t="s">
        <v>58</v>
      </c>
      <c r="F53" s="112"/>
    </row>
    <row r="54" spans="1:6" ht="13.5" customHeight="1" x14ac:dyDescent="0.2">
      <c r="B54" s="22" t="s">
        <v>24</v>
      </c>
      <c r="C54" t="s">
        <v>59</v>
      </c>
      <c r="F54" s="86"/>
    </row>
    <row r="55" spans="1:6" ht="13.5" customHeight="1" x14ac:dyDescent="0.2">
      <c r="B55" s="22" t="s">
        <v>24</v>
      </c>
      <c r="C55" t="s">
        <v>60</v>
      </c>
      <c r="F55" s="86"/>
    </row>
    <row r="56" spans="1:6" ht="13.5" customHeight="1" x14ac:dyDescent="0.2">
      <c r="B56" s="22" t="s">
        <v>24</v>
      </c>
      <c r="C56" t="s">
        <v>61</v>
      </c>
      <c r="F56" s="113"/>
    </row>
    <row r="57" spans="1:6" x14ac:dyDescent="0.2">
      <c r="B57" s="22"/>
    </row>
  </sheetData>
  <sheetProtection algorithmName="SHA-512" hashValue="Ew5vBI599rer0rICl8qJt9axZ+GvjxeYcYw/CpPS62gEM3D1JZaDYRZ8lrQUB+TaGb5aVb3SAUPkR5dW6Oc7xA==" saltValue="9tIaoV4JiwUzReciSlki+Q==" spinCount="100000" sheet="1" autoFilter="0"/>
  <mergeCells count="4">
    <mergeCell ref="C6:D6"/>
    <mergeCell ref="A1:F1"/>
    <mergeCell ref="A2:F2"/>
    <mergeCell ref="A9:F9"/>
  </mergeCells>
  <phoneticPr fontId="0" type="noConversion"/>
  <pageMargins left="0.55000000000000004" right="0.55000000000000004" top="0.5" bottom="0.5" header="0.5" footer="0.25"/>
  <pageSetup scale="95" orientation="portrait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7"/>
  <sheetViews>
    <sheetView workbookViewId="0">
      <selection activeCell="E19" sqref="E19"/>
    </sheetView>
  </sheetViews>
  <sheetFormatPr defaultRowHeight="12.75" x14ac:dyDescent="0.2"/>
  <cols>
    <col min="1" max="1" width="10.140625" bestFit="1" customWidth="1"/>
    <col min="3" max="3" width="36" customWidth="1"/>
    <col min="5" max="5" width="58.28515625" customWidth="1"/>
    <col min="7" max="8" width="9.140625" hidden="1" customWidth="1"/>
    <col min="9" max="9" width="10.5703125" hidden="1" customWidth="1"/>
    <col min="10" max="10" width="10" hidden="1" customWidth="1"/>
    <col min="11" max="11" width="9.140625" hidden="1" customWidth="1"/>
  </cols>
  <sheetData>
    <row r="1" spans="1:10" ht="18.75" x14ac:dyDescent="0.3">
      <c r="A1" s="184" t="s">
        <v>13</v>
      </c>
      <c r="B1" s="184"/>
      <c r="C1" s="184"/>
      <c r="D1" s="184"/>
      <c r="E1" s="184"/>
      <c r="G1" s="116"/>
      <c r="H1" s="116"/>
      <c r="I1" s="116"/>
      <c r="J1" s="116"/>
    </row>
    <row r="2" spans="1:10" ht="15.75" x14ac:dyDescent="0.25">
      <c r="A2" s="185" t="s">
        <v>1007</v>
      </c>
      <c r="B2" s="185"/>
      <c r="C2" s="185"/>
      <c r="D2" s="185"/>
      <c r="E2" s="185"/>
      <c r="G2" s="117" t="s">
        <v>62</v>
      </c>
      <c r="H2" s="116"/>
      <c r="I2" s="116"/>
      <c r="J2" s="116"/>
    </row>
    <row r="3" spans="1:10" ht="15.75" x14ac:dyDescent="0.25">
      <c r="A3" s="106"/>
      <c r="B3" s="107"/>
      <c r="C3" s="106"/>
      <c r="D3" s="107"/>
      <c r="E3" s="108"/>
      <c r="G3" s="116"/>
      <c r="H3" s="116"/>
      <c r="I3" s="116"/>
      <c r="J3" s="116"/>
    </row>
    <row r="4" spans="1:10" ht="15" x14ac:dyDescent="0.25">
      <c r="G4" s="186" t="s">
        <v>63</v>
      </c>
      <c r="H4" s="186"/>
      <c r="I4" s="186"/>
      <c r="J4" s="186"/>
    </row>
    <row r="5" spans="1:10" ht="90.75" thickBot="1" x14ac:dyDescent="0.3">
      <c r="A5" s="109" t="s">
        <v>64</v>
      </c>
      <c r="C5" s="109" t="s">
        <v>65</v>
      </c>
      <c r="E5" s="110" t="s">
        <v>66</v>
      </c>
      <c r="G5" s="118" t="s">
        <v>67</v>
      </c>
      <c r="H5" s="118" t="s">
        <v>68</v>
      </c>
      <c r="I5" s="118" t="s">
        <v>69</v>
      </c>
      <c r="J5" s="118" t="s">
        <v>70</v>
      </c>
    </row>
    <row r="6" spans="1:10" x14ac:dyDescent="0.2">
      <c r="A6" s="111">
        <v>45854</v>
      </c>
      <c r="C6" t="s">
        <v>1035</v>
      </c>
      <c r="E6" t="s">
        <v>1037</v>
      </c>
      <c r="G6" t="s">
        <v>71</v>
      </c>
      <c r="H6" s="111" t="s">
        <v>71</v>
      </c>
      <c r="I6" s="111" t="s">
        <v>71</v>
      </c>
    </row>
    <row r="7" spans="1:10" x14ac:dyDescent="0.2">
      <c r="B7" t="s">
        <v>1036</v>
      </c>
      <c r="G7" s="1" t="s">
        <v>72</v>
      </c>
      <c r="H7" s="111">
        <v>44713</v>
      </c>
      <c r="I7" s="111">
        <v>44713</v>
      </c>
      <c r="J7" s="22" t="s">
        <v>73</v>
      </c>
    </row>
  </sheetData>
  <sheetProtection algorithmName="SHA-512" hashValue="YpFaffY9v/O8MYRMNoiOieV9ulwx8JVRDD74gXqqGWBuLJu05uSnUY3nDgi3Z1kls3SM9+ZZQhUJBVkhjlvyjA==" saltValue="i51B3Ajfoy6YzmTfomcHsw==" spinCount="100000" sheet="1" autoFilter="0"/>
  <mergeCells count="3">
    <mergeCell ref="A1:E1"/>
    <mergeCell ref="A2:E2"/>
    <mergeCell ref="G4:J4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196"/>
  <sheetViews>
    <sheetView zoomScaleNormal="100" workbookViewId="0">
      <selection activeCell="E88" sqref="E88"/>
    </sheetView>
  </sheetViews>
  <sheetFormatPr defaultColWidth="9.140625" defaultRowHeight="12.75" x14ac:dyDescent="0.2"/>
  <cols>
    <col min="1" max="3" width="2.42578125" style="1" customWidth="1"/>
    <col min="4" max="4" width="42" style="1" customWidth="1"/>
    <col min="5" max="5" width="15.7109375" style="1" customWidth="1"/>
    <col min="6" max="6" width="1.5703125" style="1" customWidth="1"/>
    <col min="7" max="7" width="15.7109375" style="1" customWidth="1"/>
    <col min="8" max="8" width="1.5703125" style="1" customWidth="1"/>
    <col min="9" max="9" width="15.42578125" style="1" customWidth="1"/>
    <col min="10" max="10" width="4.28515625" style="1" customWidth="1"/>
    <col min="11" max="16384" width="9.140625" style="1"/>
  </cols>
  <sheetData>
    <row r="1" spans="1:10" ht="19.5" customHeight="1" x14ac:dyDescent="0.35">
      <c r="A1" s="8"/>
      <c r="B1" s="8"/>
      <c r="C1" s="8"/>
      <c r="D1" s="8"/>
      <c r="E1" s="8"/>
      <c r="F1" s="8"/>
      <c r="H1" s="8"/>
      <c r="I1" s="146" t="s">
        <v>74</v>
      </c>
    </row>
    <row r="2" spans="1:10" ht="8.1" customHeight="1" x14ac:dyDescent="0.3">
      <c r="A2" s="7"/>
      <c r="B2" s="8"/>
      <c r="C2" s="8"/>
      <c r="D2" s="8"/>
      <c r="E2" s="8"/>
      <c r="F2" s="8"/>
      <c r="G2" s="8"/>
      <c r="H2" s="8"/>
      <c r="I2" s="9"/>
    </row>
    <row r="3" spans="1:10" s="5" customFormat="1" ht="20.25" x14ac:dyDescent="0.3">
      <c r="A3" s="188" t="str">
        <f>Steps!$E$6</f>
        <v>Name of College</v>
      </c>
      <c r="B3" s="188"/>
      <c r="C3" s="188"/>
      <c r="D3" s="188"/>
      <c r="E3" s="188"/>
      <c r="F3" s="188"/>
      <c r="G3" s="188"/>
      <c r="H3" s="188"/>
      <c r="I3" s="188"/>
    </row>
    <row r="4" spans="1:10" s="5" customFormat="1" ht="20.25" x14ac:dyDescent="0.3">
      <c r="A4" s="188" t="s">
        <v>75</v>
      </c>
      <c r="B4" s="188"/>
      <c r="C4" s="188"/>
      <c r="D4" s="188"/>
      <c r="E4" s="188"/>
      <c r="F4" s="188"/>
      <c r="G4" s="188"/>
      <c r="H4" s="188"/>
      <c r="I4" s="188"/>
    </row>
    <row r="5" spans="1:10" s="5" customFormat="1" ht="20.25" x14ac:dyDescent="0.3">
      <c r="A5" s="188" t="s">
        <v>1008</v>
      </c>
      <c r="B5" s="188"/>
      <c r="C5" s="188"/>
      <c r="D5" s="188"/>
      <c r="E5" s="188"/>
      <c r="F5" s="188"/>
      <c r="G5" s="188"/>
      <c r="H5" s="188"/>
      <c r="I5" s="188"/>
    </row>
    <row r="6" spans="1:10" ht="8.1" customHeight="1" thickBot="1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10" ht="8.1" customHeight="1" x14ac:dyDescent="0.2"/>
    <row r="8" spans="1:10" ht="12.75" customHeight="1" x14ac:dyDescent="0.2">
      <c r="G8" s="2">
        <v>2024</v>
      </c>
    </row>
    <row r="9" spans="1:10" x14ac:dyDescent="0.2">
      <c r="E9" s="14">
        <v>2025</v>
      </c>
      <c r="F9" s="2"/>
      <c r="G9" s="14" t="s">
        <v>76</v>
      </c>
      <c r="I9" s="13" t="s">
        <v>77</v>
      </c>
    </row>
    <row r="10" spans="1:10" ht="15.75" customHeight="1" x14ac:dyDescent="0.25">
      <c r="A10" s="12" t="s">
        <v>78</v>
      </c>
      <c r="J10" s="2"/>
    </row>
    <row r="11" spans="1:10" ht="12.75" customHeight="1" x14ac:dyDescent="0.2">
      <c r="A11" s="1" t="s">
        <v>79</v>
      </c>
      <c r="G11" s="4"/>
      <c r="I11" s="21"/>
      <c r="J11" s="2"/>
    </row>
    <row r="12" spans="1:10" ht="12.75" customHeight="1" x14ac:dyDescent="0.2">
      <c r="B12" s="1" t="s">
        <v>80</v>
      </c>
      <c r="E12" s="87">
        <v>0</v>
      </c>
      <c r="F12" s="32"/>
      <c r="G12" s="87">
        <v>0</v>
      </c>
      <c r="H12" s="32"/>
      <c r="I12" s="32">
        <f t="shared" ref="I12:I21" si="0">E12-G12</f>
        <v>0</v>
      </c>
      <c r="J12" s="49" t="s">
        <v>81</v>
      </c>
    </row>
    <row r="13" spans="1:10" ht="12.75" customHeight="1" x14ac:dyDescent="0.2">
      <c r="B13" s="1" t="s">
        <v>82</v>
      </c>
      <c r="E13" s="88">
        <v>0</v>
      </c>
      <c r="F13" s="32"/>
      <c r="G13" s="88">
        <v>0</v>
      </c>
      <c r="H13" s="32"/>
      <c r="I13" s="29">
        <f>E13-G13</f>
        <v>0</v>
      </c>
      <c r="J13" s="49" t="s">
        <v>81</v>
      </c>
    </row>
    <row r="14" spans="1:10" ht="12.75" customHeight="1" x14ac:dyDescent="0.2">
      <c r="B14" s="1" t="s">
        <v>83</v>
      </c>
      <c r="E14" s="88">
        <v>0</v>
      </c>
      <c r="F14" s="29"/>
      <c r="G14" s="88">
        <v>0</v>
      </c>
      <c r="H14" s="29"/>
      <c r="I14" s="29">
        <f>E14-G14</f>
        <v>0</v>
      </c>
      <c r="J14" s="49" t="s">
        <v>84</v>
      </c>
    </row>
    <row r="15" spans="1:10" ht="12.75" customHeight="1" x14ac:dyDescent="0.2">
      <c r="B15" s="1" t="s">
        <v>85</v>
      </c>
      <c r="E15" s="88">
        <v>0</v>
      </c>
      <c r="F15" s="29"/>
      <c r="G15" s="88">
        <v>0</v>
      </c>
      <c r="H15" s="29"/>
      <c r="I15" s="29">
        <f>E15-G15</f>
        <v>0</v>
      </c>
      <c r="J15" s="49" t="s">
        <v>84</v>
      </c>
    </row>
    <row r="16" spans="1:10" ht="12.75" customHeight="1" x14ac:dyDescent="0.2">
      <c r="B16" s="1" t="s">
        <v>86</v>
      </c>
      <c r="E16" s="88">
        <v>0</v>
      </c>
      <c r="F16" s="29"/>
      <c r="G16" s="88">
        <v>0</v>
      </c>
      <c r="H16" s="29"/>
      <c r="I16" s="29">
        <f>E16-G16</f>
        <v>0</v>
      </c>
      <c r="J16" s="49" t="s">
        <v>84</v>
      </c>
    </row>
    <row r="17" spans="1:10" ht="12.75" customHeight="1" x14ac:dyDescent="0.2">
      <c r="B17" s="1" t="s">
        <v>87</v>
      </c>
      <c r="E17" s="88">
        <v>0</v>
      </c>
      <c r="F17" s="29"/>
      <c r="G17" s="88">
        <v>0</v>
      </c>
      <c r="H17" s="29"/>
      <c r="I17" s="29">
        <f t="shared" si="0"/>
        <v>0</v>
      </c>
      <c r="J17" s="49" t="s">
        <v>84</v>
      </c>
    </row>
    <row r="18" spans="1:10" ht="12.75" customHeight="1" x14ac:dyDescent="0.2">
      <c r="B18" s="1" t="s">
        <v>88</v>
      </c>
      <c r="E18" s="88">
        <v>0</v>
      </c>
      <c r="F18" s="29"/>
      <c r="G18" s="88">
        <v>0</v>
      </c>
      <c r="H18" s="29"/>
      <c r="I18" s="29">
        <f t="shared" si="0"/>
        <v>0</v>
      </c>
      <c r="J18" s="49" t="s">
        <v>84</v>
      </c>
    </row>
    <row r="19" spans="1:10" ht="12.75" customHeight="1" x14ac:dyDescent="0.2">
      <c r="B19" s="1" t="s">
        <v>89</v>
      </c>
      <c r="E19" s="88">
        <v>0</v>
      </c>
      <c r="F19" s="29"/>
      <c r="G19" s="88">
        <v>0</v>
      </c>
      <c r="H19" s="29"/>
      <c r="I19" s="29">
        <f t="shared" si="0"/>
        <v>0</v>
      </c>
      <c r="J19" s="49" t="s">
        <v>84</v>
      </c>
    </row>
    <row r="20" spans="1:10" ht="12.75" customHeight="1" x14ac:dyDescent="0.2">
      <c r="B20" s="1" t="s">
        <v>90</v>
      </c>
      <c r="E20" s="88">
        <v>0</v>
      </c>
      <c r="F20" s="29"/>
      <c r="G20" s="88">
        <v>0</v>
      </c>
      <c r="H20" s="29"/>
      <c r="I20" s="29">
        <f t="shared" si="0"/>
        <v>0</v>
      </c>
      <c r="J20" s="49" t="s">
        <v>91</v>
      </c>
    </row>
    <row r="21" spans="1:10" ht="12.75" customHeight="1" x14ac:dyDescent="0.2">
      <c r="B21" s="1" t="s">
        <v>92</v>
      </c>
      <c r="E21" s="88">
        <v>0</v>
      </c>
      <c r="F21" s="29"/>
      <c r="G21" s="88">
        <v>0</v>
      </c>
      <c r="H21" s="29"/>
      <c r="I21" s="29">
        <f t="shared" si="0"/>
        <v>0</v>
      </c>
      <c r="J21" s="49" t="s">
        <v>93</v>
      </c>
    </row>
    <row r="22" spans="1:10" ht="12.75" customHeight="1" x14ac:dyDescent="0.2">
      <c r="B22" s="1" t="s">
        <v>94</v>
      </c>
      <c r="E22" s="88">
        <v>0</v>
      </c>
      <c r="F22" s="29"/>
      <c r="G22" s="88">
        <v>0</v>
      </c>
      <c r="H22" s="29"/>
      <c r="I22" s="29">
        <f>E22-G22</f>
        <v>0</v>
      </c>
      <c r="J22" s="49" t="s">
        <v>84</v>
      </c>
    </row>
    <row r="23" spans="1:10" ht="12.75" customHeight="1" x14ac:dyDescent="0.2">
      <c r="B23" s="1" t="s">
        <v>95</v>
      </c>
      <c r="E23" s="88">
        <v>0</v>
      </c>
      <c r="F23" s="29"/>
      <c r="G23" s="88">
        <v>0</v>
      </c>
      <c r="H23" s="29"/>
      <c r="I23" s="29">
        <f>E23-G23</f>
        <v>0</v>
      </c>
      <c r="J23" s="49" t="s">
        <v>84</v>
      </c>
    </row>
    <row r="24" spans="1:10" ht="12.75" customHeight="1" x14ac:dyDescent="0.2">
      <c r="B24" s="1" t="s">
        <v>96</v>
      </c>
      <c r="E24" s="88">
        <v>0</v>
      </c>
      <c r="F24" s="29"/>
      <c r="G24" s="88">
        <v>0</v>
      </c>
      <c r="H24" s="29"/>
      <c r="I24" s="29">
        <f>E24-G24</f>
        <v>0</v>
      </c>
      <c r="J24" s="49" t="s">
        <v>84</v>
      </c>
    </row>
    <row r="25" spans="1:10" ht="12.75" customHeight="1" x14ac:dyDescent="0.2">
      <c r="B25" t="s">
        <v>97</v>
      </c>
      <c r="E25" s="88">
        <v>0</v>
      </c>
      <c r="F25" s="29"/>
      <c r="G25" s="88">
        <v>0</v>
      </c>
      <c r="H25" s="29"/>
      <c r="I25" s="29">
        <f>E25-G25</f>
        <v>0</v>
      </c>
      <c r="J25" s="49" t="s">
        <v>98</v>
      </c>
    </row>
    <row r="26" spans="1:10" ht="12.75" customHeight="1" x14ac:dyDescent="0.2">
      <c r="B26" s="1" t="s">
        <v>99</v>
      </c>
      <c r="E26" s="88">
        <v>0</v>
      </c>
      <c r="F26" s="29"/>
      <c r="G26" s="88">
        <v>0</v>
      </c>
      <c r="H26" s="29"/>
      <c r="I26" s="29">
        <f>E26-G26</f>
        <v>0</v>
      </c>
      <c r="J26" s="49" t="s">
        <v>98</v>
      </c>
    </row>
    <row r="27" spans="1:10" ht="12.75" customHeight="1" x14ac:dyDescent="0.2">
      <c r="D27" s="1" t="s">
        <v>100</v>
      </c>
      <c r="E27" s="31">
        <f>SUM(E12:E26)</f>
        <v>0</v>
      </c>
      <c r="F27" s="29"/>
      <c r="G27" s="31">
        <f>SUM(G12:G26)</f>
        <v>0</v>
      </c>
      <c r="H27" s="29"/>
      <c r="I27" s="31">
        <f>SUM(I12:I26)</f>
        <v>0</v>
      </c>
      <c r="J27" s="49"/>
    </row>
    <row r="28" spans="1:10" ht="9.9499999999999993" customHeight="1" x14ac:dyDescent="0.2">
      <c r="E28" s="29"/>
      <c r="F28" s="29"/>
      <c r="G28" s="29"/>
      <c r="H28" s="29"/>
      <c r="I28" s="29"/>
      <c r="J28" s="49"/>
    </row>
    <row r="29" spans="1:10" ht="12.75" customHeight="1" x14ac:dyDescent="0.2">
      <c r="A29" s="1" t="s">
        <v>101</v>
      </c>
      <c r="E29" s="29"/>
      <c r="F29" s="29"/>
      <c r="G29" s="29"/>
      <c r="H29" s="29"/>
      <c r="I29" s="29"/>
      <c r="J29" s="49"/>
    </row>
    <row r="30" spans="1:10" ht="12.75" customHeight="1" x14ac:dyDescent="0.2">
      <c r="B30" s="1" t="s">
        <v>82</v>
      </c>
      <c r="E30" s="88">
        <v>0</v>
      </c>
      <c r="F30" s="29"/>
      <c r="G30" s="88">
        <v>0</v>
      </c>
      <c r="H30" s="29"/>
      <c r="I30" s="29">
        <f t="shared" ref="I30:I42" si="1">E30-G30</f>
        <v>0</v>
      </c>
      <c r="J30" s="49" t="s">
        <v>81</v>
      </c>
    </row>
    <row r="31" spans="1:10" ht="12.75" customHeight="1" x14ac:dyDescent="0.2">
      <c r="B31" s="1" t="s">
        <v>86</v>
      </c>
      <c r="E31" s="88">
        <v>0</v>
      </c>
      <c r="F31" s="29"/>
      <c r="G31" s="88">
        <v>0</v>
      </c>
      <c r="H31" s="29"/>
      <c r="I31" s="29">
        <f t="shared" si="1"/>
        <v>0</v>
      </c>
      <c r="J31" s="49" t="s">
        <v>84</v>
      </c>
    </row>
    <row r="32" spans="1:10" ht="12.75" customHeight="1" x14ac:dyDescent="0.2">
      <c r="B32" s="1" t="s">
        <v>102</v>
      </c>
      <c r="E32" s="88">
        <v>0</v>
      </c>
      <c r="F32" s="29"/>
      <c r="G32" s="88">
        <v>0</v>
      </c>
      <c r="H32" s="29"/>
      <c r="I32" s="29">
        <f t="shared" si="1"/>
        <v>0</v>
      </c>
      <c r="J32" s="49" t="s">
        <v>84</v>
      </c>
    </row>
    <row r="33" spans="1:10" ht="12.75" customHeight="1" x14ac:dyDescent="0.2">
      <c r="B33" s="1" t="s">
        <v>103</v>
      </c>
      <c r="E33" s="88">
        <v>0</v>
      </c>
      <c r="F33" s="29"/>
      <c r="G33" s="88">
        <v>0</v>
      </c>
      <c r="H33" s="29"/>
      <c r="I33" s="29">
        <f t="shared" si="1"/>
        <v>0</v>
      </c>
      <c r="J33" s="49" t="s">
        <v>84</v>
      </c>
    </row>
    <row r="34" spans="1:10" ht="12.75" customHeight="1" x14ac:dyDescent="0.2">
      <c r="B34" s="1" t="s">
        <v>104</v>
      </c>
      <c r="E34" s="88">
        <v>0</v>
      </c>
      <c r="F34" s="29"/>
      <c r="G34" s="88">
        <v>0</v>
      </c>
      <c r="H34" s="29"/>
      <c r="I34" s="29">
        <f t="shared" si="1"/>
        <v>0</v>
      </c>
      <c r="J34" s="49" t="s">
        <v>84</v>
      </c>
    </row>
    <row r="35" spans="1:10" ht="12.75" customHeight="1" x14ac:dyDescent="0.2">
      <c r="B35" s="1" t="s">
        <v>105</v>
      </c>
      <c r="E35" s="88">
        <v>0</v>
      </c>
      <c r="F35" s="29"/>
      <c r="G35" s="88">
        <v>0</v>
      </c>
      <c r="H35" s="29"/>
      <c r="I35" s="29">
        <f t="shared" si="1"/>
        <v>0</v>
      </c>
      <c r="J35" s="49" t="s">
        <v>84</v>
      </c>
    </row>
    <row r="36" spans="1:10" ht="12.75" customHeight="1" x14ac:dyDescent="0.2">
      <c r="B36" s="1" t="s">
        <v>94</v>
      </c>
      <c r="E36" s="88">
        <v>0</v>
      </c>
      <c r="F36" s="29"/>
      <c r="G36" s="88">
        <v>0</v>
      </c>
      <c r="H36" s="29"/>
      <c r="I36" s="29">
        <f>E36-G36</f>
        <v>0</v>
      </c>
      <c r="J36" s="49" t="s">
        <v>84</v>
      </c>
    </row>
    <row r="37" spans="1:10" ht="12.75" customHeight="1" x14ac:dyDescent="0.2">
      <c r="B37" s="1" t="s">
        <v>106</v>
      </c>
      <c r="E37" s="88">
        <v>0</v>
      </c>
      <c r="F37" s="29"/>
      <c r="G37" s="88">
        <v>0</v>
      </c>
      <c r="H37" s="29"/>
      <c r="I37" s="29">
        <f t="shared" si="1"/>
        <v>0</v>
      </c>
      <c r="J37" s="49" t="s">
        <v>84</v>
      </c>
    </row>
    <row r="38" spans="1:10" ht="12.75" customHeight="1" x14ac:dyDescent="0.2">
      <c r="B38" s="1" t="s">
        <v>96</v>
      </c>
      <c r="E38" s="88">
        <v>0</v>
      </c>
      <c r="F38" s="29"/>
      <c r="G38" s="88">
        <v>0</v>
      </c>
      <c r="H38" s="29"/>
      <c r="I38" s="29">
        <f>E38-G38</f>
        <v>0</v>
      </c>
      <c r="J38" s="49" t="s">
        <v>84</v>
      </c>
    </row>
    <row r="39" spans="1:10" ht="12.75" customHeight="1" x14ac:dyDescent="0.2">
      <c r="B39" s="1" t="s">
        <v>97</v>
      </c>
      <c r="E39" s="88">
        <v>0</v>
      </c>
      <c r="F39" s="29"/>
      <c r="G39" s="88">
        <v>0</v>
      </c>
      <c r="H39" s="29"/>
      <c r="I39" s="29">
        <f>E39-G39</f>
        <v>0</v>
      </c>
      <c r="J39" s="49" t="s">
        <v>98</v>
      </c>
    </row>
    <row r="40" spans="1:10" ht="12.75" customHeight="1" x14ac:dyDescent="0.2">
      <c r="B40" s="1" t="s">
        <v>99</v>
      </c>
      <c r="E40" s="88">
        <v>0</v>
      </c>
      <c r="F40" s="29"/>
      <c r="G40" s="88">
        <v>0</v>
      </c>
      <c r="H40" s="29"/>
      <c r="I40" s="29">
        <f>E40-G40</f>
        <v>0</v>
      </c>
      <c r="J40" s="49" t="s">
        <v>98</v>
      </c>
    </row>
    <row r="41" spans="1:10" ht="12.75" customHeight="1" x14ac:dyDescent="0.2">
      <c r="B41" s="1" t="s">
        <v>107</v>
      </c>
      <c r="E41" s="88">
        <v>0</v>
      </c>
      <c r="F41" s="29"/>
      <c r="G41" s="88">
        <v>0</v>
      </c>
      <c r="H41" s="29"/>
      <c r="I41" s="29">
        <f t="shared" si="1"/>
        <v>0</v>
      </c>
      <c r="J41" s="49" t="s">
        <v>108</v>
      </c>
    </row>
    <row r="42" spans="1:10" ht="12.75" customHeight="1" x14ac:dyDescent="0.2">
      <c r="B42" s="1" t="s">
        <v>109</v>
      </c>
      <c r="E42" s="88">
        <v>0</v>
      </c>
      <c r="F42" s="29"/>
      <c r="G42" s="88">
        <v>0</v>
      </c>
      <c r="H42" s="29"/>
      <c r="I42" s="29">
        <f t="shared" si="1"/>
        <v>0</v>
      </c>
      <c r="J42" s="49" t="s">
        <v>108</v>
      </c>
    </row>
    <row r="43" spans="1:10" ht="12.75" customHeight="1" x14ac:dyDescent="0.2">
      <c r="D43" s="1" t="s">
        <v>110</v>
      </c>
      <c r="E43" s="31">
        <f>SUM(E30:E42)</f>
        <v>0</v>
      </c>
      <c r="F43" s="29"/>
      <c r="G43" s="31">
        <f>SUM(G30:G42)</f>
        <v>0</v>
      </c>
      <c r="H43" s="29"/>
      <c r="I43" s="31">
        <f>SUM(I30:I42)</f>
        <v>0</v>
      </c>
      <c r="J43" s="49"/>
    </row>
    <row r="44" spans="1:10" ht="12.75" customHeight="1" x14ac:dyDescent="0.2">
      <c r="D44" s="1" t="s">
        <v>111</v>
      </c>
      <c r="E44" s="31">
        <f>E27+E43</f>
        <v>0</v>
      </c>
      <c r="F44" s="32"/>
      <c r="G44" s="31">
        <f>G27+G43</f>
        <v>0</v>
      </c>
      <c r="H44" s="32"/>
      <c r="I44" s="31">
        <f>I27+I43</f>
        <v>0</v>
      </c>
      <c r="J44" s="49"/>
    </row>
    <row r="45" spans="1:10" ht="9.9499999999999993" customHeight="1" x14ac:dyDescent="0.2">
      <c r="E45" s="29"/>
      <c r="F45" s="32"/>
      <c r="G45" s="29"/>
      <c r="H45" s="32"/>
      <c r="I45" s="29"/>
      <c r="J45" s="49"/>
    </row>
    <row r="46" spans="1:10" ht="12.75" customHeight="1" x14ac:dyDescent="0.2">
      <c r="A46" s="104" t="s">
        <v>112</v>
      </c>
      <c r="E46" s="29"/>
      <c r="F46" s="32"/>
      <c r="G46" s="29"/>
      <c r="H46" s="32"/>
      <c r="I46" s="29"/>
      <c r="J46" s="49"/>
    </row>
    <row r="47" spans="1:10" ht="12.75" customHeight="1" x14ac:dyDescent="0.2">
      <c r="A47" s="104"/>
      <c r="B47" s="1" t="s">
        <v>113</v>
      </c>
      <c r="E47" s="88">
        <v>0</v>
      </c>
      <c r="F47" s="32"/>
      <c r="G47" s="88">
        <v>0</v>
      </c>
      <c r="H47" s="32"/>
      <c r="I47" s="29">
        <f>E47-G47</f>
        <v>0</v>
      </c>
      <c r="J47" s="49"/>
    </row>
    <row r="48" spans="1:10" ht="12.75" customHeight="1" x14ac:dyDescent="0.2">
      <c r="A48" s="104"/>
      <c r="B48" s="1" t="s">
        <v>114</v>
      </c>
      <c r="E48" s="88">
        <v>0</v>
      </c>
      <c r="F48" s="32"/>
      <c r="G48" s="88">
        <v>0</v>
      </c>
      <c r="H48" s="32"/>
      <c r="I48" s="29">
        <f>E48-G48</f>
        <v>0</v>
      </c>
      <c r="J48" s="49"/>
    </row>
    <row r="49" spans="1:10" ht="12.75" customHeight="1" x14ac:dyDescent="0.2">
      <c r="A49" s="104"/>
      <c r="B49" s="1" t="s">
        <v>115</v>
      </c>
      <c r="E49" s="88">
        <v>0</v>
      </c>
      <c r="F49" s="32"/>
      <c r="G49" s="88">
        <v>0</v>
      </c>
      <c r="H49" s="32"/>
      <c r="I49" s="29">
        <f>E49-G49</f>
        <v>0</v>
      </c>
      <c r="J49" s="49"/>
    </row>
    <row r="50" spans="1:10" ht="12.75" customHeight="1" x14ac:dyDescent="0.2">
      <c r="A50" s="104"/>
      <c r="B50" s="1" t="s">
        <v>116</v>
      </c>
      <c r="E50" s="88">
        <v>0</v>
      </c>
      <c r="F50" s="32"/>
      <c r="G50" s="88">
        <v>0</v>
      </c>
      <c r="H50" s="32"/>
      <c r="I50" s="29">
        <f>E50-G50</f>
        <v>0</v>
      </c>
      <c r="J50" s="49"/>
    </row>
    <row r="51" spans="1:10" ht="9.9499999999999993" customHeight="1" x14ac:dyDescent="0.2">
      <c r="J51" s="49"/>
    </row>
    <row r="52" spans="1:10" ht="15.75" customHeight="1" x14ac:dyDescent="0.25">
      <c r="A52" s="12" t="s">
        <v>117</v>
      </c>
      <c r="J52" s="49"/>
    </row>
    <row r="53" spans="1:10" ht="12.75" customHeight="1" x14ac:dyDescent="0.2">
      <c r="A53" s="1" t="s">
        <v>118</v>
      </c>
      <c r="J53" s="49"/>
    </row>
    <row r="54" spans="1:10" ht="12.75" customHeight="1" x14ac:dyDescent="0.2">
      <c r="B54" s="1" t="s">
        <v>119</v>
      </c>
      <c r="E54" s="88">
        <v>0</v>
      </c>
      <c r="G54" s="88">
        <v>0</v>
      </c>
      <c r="I54" s="29">
        <f t="shared" ref="I54:I59" si="2">E54-G54</f>
        <v>0</v>
      </c>
      <c r="J54" s="49" t="s">
        <v>84</v>
      </c>
    </row>
    <row r="55" spans="1:10" ht="12.75" customHeight="1" x14ac:dyDescent="0.2">
      <c r="B55" s="1" t="s">
        <v>120</v>
      </c>
      <c r="E55" s="88">
        <v>0</v>
      </c>
      <c r="F55" s="29"/>
      <c r="G55" s="88">
        <v>0</v>
      </c>
      <c r="H55" s="29"/>
      <c r="I55" s="29">
        <f t="shared" si="2"/>
        <v>0</v>
      </c>
      <c r="J55" s="49" t="s">
        <v>121</v>
      </c>
    </row>
    <row r="56" spans="1:10" ht="12.75" customHeight="1" x14ac:dyDescent="0.2">
      <c r="B56" s="1" t="s">
        <v>122</v>
      </c>
      <c r="E56" s="88">
        <v>0</v>
      </c>
      <c r="F56" s="29"/>
      <c r="G56" s="88">
        <v>0</v>
      </c>
      <c r="H56" s="29"/>
      <c r="I56" s="29">
        <f t="shared" si="2"/>
        <v>0</v>
      </c>
      <c r="J56" s="49" t="s">
        <v>123</v>
      </c>
    </row>
    <row r="57" spans="1:10" ht="12.75" customHeight="1" x14ac:dyDescent="0.2">
      <c r="B57" s="1" t="s">
        <v>124</v>
      </c>
      <c r="E57" s="88">
        <v>0</v>
      </c>
      <c r="F57" s="29"/>
      <c r="G57" s="88">
        <v>0</v>
      </c>
      <c r="H57" s="29"/>
      <c r="I57" s="29">
        <f t="shared" si="2"/>
        <v>0</v>
      </c>
      <c r="J57" s="49" t="s">
        <v>84</v>
      </c>
    </row>
    <row r="58" spans="1:10" ht="12.75" customHeight="1" x14ac:dyDescent="0.2">
      <c r="B58" s="1" t="s">
        <v>125</v>
      </c>
      <c r="E58" s="88">
        <v>0</v>
      </c>
      <c r="F58" s="29"/>
      <c r="G58" s="88">
        <v>0</v>
      </c>
      <c r="H58" s="29"/>
      <c r="I58" s="29">
        <f t="shared" si="2"/>
        <v>0</v>
      </c>
      <c r="J58" s="49" t="s">
        <v>84</v>
      </c>
    </row>
    <row r="59" spans="1:10" ht="12.75" customHeight="1" x14ac:dyDescent="0.2">
      <c r="B59" s="1" t="s">
        <v>126</v>
      </c>
      <c r="E59" s="89">
        <v>0</v>
      </c>
      <c r="F59" s="29"/>
      <c r="G59" s="89">
        <v>0</v>
      </c>
      <c r="H59" s="29"/>
      <c r="I59" s="30">
        <f t="shared" si="2"/>
        <v>0</v>
      </c>
      <c r="J59" s="49" t="s">
        <v>127</v>
      </c>
    </row>
    <row r="60" spans="1:10" ht="12.75" customHeight="1" x14ac:dyDescent="0.2">
      <c r="D60" s="1" t="s">
        <v>128</v>
      </c>
      <c r="E60" s="30">
        <f>SUM(E54:E59)</f>
        <v>0</v>
      </c>
      <c r="F60" s="29"/>
      <c r="G60" s="30">
        <f>SUM(G54:G59)</f>
        <v>0</v>
      </c>
      <c r="H60" s="29"/>
      <c r="I60" s="30">
        <f>SUM(I54:I59)</f>
        <v>0</v>
      </c>
      <c r="J60" s="49"/>
    </row>
    <row r="61" spans="1:10" ht="9.9499999999999993" customHeight="1" x14ac:dyDescent="0.2">
      <c r="E61" s="29"/>
      <c r="F61" s="29"/>
      <c r="G61" s="29"/>
      <c r="H61" s="29"/>
      <c r="I61" s="29"/>
      <c r="J61" s="49"/>
    </row>
    <row r="62" spans="1:10" ht="12.75" customHeight="1" x14ac:dyDescent="0.2">
      <c r="A62" s="1" t="s">
        <v>129</v>
      </c>
      <c r="E62" s="29"/>
      <c r="F62" s="29"/>
      <c r="G62" s="29"/>
      <c r="H62" s="29"/>
      <c r="I62" s="29"/>
      <c r="J62" s="49"/>
    </row>
    <row r="63" spans="1:10" ht="12.75" customHeight="1" x14ac:dyDescent="0.2">
      <c r="B63" s="1" t="s">
        <v>125</v>
      </c>
      <c r="E63" s="88">
        <v>0</v>
      </c>
      <c r="F63" s="29"/>
      <c r="G63" s="88">
        <v>0</v>
      </c>
      <c r="H63" s="29"/>
      <c r="I63" s="29">
        <f>E63-G63</f>
        <v>0</v>
      </c>
      <c r="J63" s="49" t="s">
        <v>84</v>
      </c>
    </row>
    <row r="64" spans="1:10" ht="12.75" customHeight="1" x14ac:dyDescent="0.2">
      <c r="B64" s="1" t="s">
        <v>130</v>
      </c>
      <c r="E64" s="88">
        <v>0</v>
      </c>
      <c r="F64" s="29"/>
      <c r="G64" s="88">
        <v>0</v>
      </c>
      <c r="H64" s="29"/>
      <c r="I64" s="29">
        <f>E64-G64</f>
        <v>0</v>
      </c>
      <c r="J64" s="40" t="s">
        <v>131</v>
      </c>
    </row>
    <row r="65" spans="1:10" ht="12.75" customHeight="1" x14ac:dyDescent="0.2">
      <c r="B65" s="1" t="s">
        <v>132</v>
      </c>
      <c r="E65" s="89">
        <v>0</v>
      </c>
      <c r="F65" s="29"/>
      <c r="G65" s="89">
        <v>0</v>
      </c>
      <c r="H65" s="29"/>
      <c r="I65" s="30">
        <f>E65-G65</f>
        <v>0</v>
      </c>
      <c r="J65" s="49" t="s">
        <v>127</v>
      </c>
    </row>
    <row r="66" spans="1:10" ht="12.75" customHeight="1" x14ac:dyDescent="0.2">
      <c r="D66" s="1" t="s">
        <v>133</v>
      </c>
      <c r="E66" s="30">
        <f>SUM(E63:E65)</f>
        <v>0</v>
      </c>
      <c r="F66" s="29"/>
      <c r="G66" s="30">
        <f>SUM(G63:G65)</f>
        <v>0</v>
      </c>
      <c r="H66" s="29"/>
      <c r="I66" s="30">
        <f>SUM(I63:I65)</f>
        <v>0</v>
      </c>
      <c r="J66" s="49"/>
    </row>
    <row r="67" spans="1:10" ht="12.75" customHeight="1" x14ac:dyDescent="0.2">
      <c r="D67" s="1" t="s">
        <v>134</v>
      </c>
      <c r="E67" s="30">
        <f>E60+E66</f>
        <v>0</v>
      </c>
      <c r="F67" s="29"/>
      <c r="G67" s="30">
        <f>G60+G66</f>
        <v>0</v>
      </c>
      <c r="H67" s="29"/>
      <c r="I67" s="30">
        <f>I60+I66</f>
        <v>0</v>
      </c>
      <c r="J67" s="49"/>
    </row>
    <row r="68" spans="1:10" ht="8.1" customHeight="1" x14ac:dyDescent="0.2">
      <c r="E68" s="29"/>
      <c r="F68" s="29"/>
      <c r="G68" s="29"/>
      <c r="H68" s="29"/>
      <c r="I68" s="29"/>
      <c r="J68" s="49"/>
    </row>
    <row r="69" spans="1:10" ht="19.5" customHeight="1" x14ac:dyDescent="0.35">
      <c r="A69" s="8"/>
      <c r="B69" s="8"/>
      <c r="C69" s="8"/>
      <c r="D69" s="8"/>
      <c r="E69" s="8"/>
      <c r="F69" s="8"/>
      <c r="H69" s="8"/>
      <c r="I69" s="146" t="s">
        <v>135</v>
      </c>
      <c r="J69" s="49"/>
    </row>
    <row r="70" spans="1:10" ht="12.75" customHeight="1" x14ac:dyDescent="0.3">
      <c r="A70" s="7"/>
      <c r="B70" s="8"/>
      <c r="C70" s="8"/>
      <c r="D70" s="8"/>
      <c r="E70" s="8"/>
      <c r="F70" s="8"/>
      <c r="G70" s="8"/>
      <c r="H70" s="8"/>
      <c r="I70" s="9"/>
      <c r="J70" s="49"/>
    </row>
    <row r="71" spans="1:10" ht="20.25" customHeight="1" x14ac:dyDescent="0.3">
      <c r="A71" s="188" t="str">
        <f>Steps!$E$6</f>
        <v>Name of College</v>
      </c>
      <c r="B71" s="188"/>
      <c r="C71" s="188"/>
      <c r="D71" s="188"/>
      <c r="E71" s="188"/>
      <c r="F71" s="188"/>
      <c r="G71" s="188"/>
      <c r="H71" s="188"/>
      <c r="I71" s="188"/>
      <c r="J71" s="49"/>
    </row>
    <row r="72" spans="1:10" ht="20.25" customHeight="1" x14ac:dyDescent="0.3">
      <c r="A72" s="188" t="s">
        <v>75</v>
      </c>
      <c r="B72" s="188"/>
      <c r="C72" s="188"/>
      <c r="D72" s="188"/>
      <c r="E72" s="188"/>
      <c r="F72" s="188"/>
      <c r="G72" s="188"/>
      <c r="H72" s="188"/>
      <c r="I72" s="188"/>
      <c r="J72" s="49"/>
    </row>
    <row r="73" spans="1:10" ht="20.25" customHeight="1" x14ac:dyDescent="0.3">
      <c r="A73" s="188" t="str">
        <f>A5</f>
        <v>June 30, 2025 and 2024</v>
      </c>
      <c r="B73" s="188"/>
      <c r="C73" s="188"/>
      <c r="D73" s="188"/>
      <c r="E73" s="188"/>
      <c r="F73" s="188"/>
      <c r="G73" s="188"/>
      <c r="H73" s="188"/>
      <c r="I73" s="188"/>
      <c r="J73" s="49"/>
    </row>
    <row r="74" spans="1:10" ht="12.75" customHeight="1" thickBo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49"/>
    </row>
    <row r="75" spans="1:10" ht="12.75" customHeight="1" x14ac:dyDescent="0.2">
      <c r="J75" s="49"/>
    </row>
    <row r="76" spans="1:10" ht="12.75" customHeight="1" x14ac:dyDescent="0.2">
      <c r="G76" s="2">
        <f>G8</f>
        <v>2024</v>
      </c>
      <c r="J76" s="49"/>
    </row>
    <row r="77" spans="1:10" ht="12.75" customHeight="1" x14ac:dyDescent="0.2">
      <c r="E77" s="14">
        <f>E9</f>
        <v>2025</v>
      </c>
      <c r="F77" s="2"/>
      <c r="G77" s="14" t="s">
        <v>76</v>
      </c>
      <c r="I77" s="13" t="s">
        <v>77</v>
      </c>
      <c r="J77" s="49"/>
    </row>
    <row r="78" spans="1:10" ht="12.75" customHeight="1" x14ac:dyDescent="0.2">
      <c r="E78" s="29"/>
      <c r="F78" s="29"/>
      <c r="G78" s="29"/>
      <c r="H78" s="29"/>
      <c r="I78" s="29"/>
      <c r="J78" s="49"/>
    </row>
    <row r="79" spans="1:10" ht="12.75" customHeight="1" x14ac:dyDescent="0.2">
      <c r="A79" s="104" t="s">
        <v>136</v>
      </c>
      <c r="E79" s="29"/>
      <c r="F79" s="29"/>
      <c r="G79" s="29"/>
      <c r="H79" s="29"/>
      <c r="I79" s="29"/>
      <c r="J79" s="49"/>
    </row>
    <row r="80" spans="1:10" ht="12.75" customHeight="1" x14ac:dyDescent="0.2">
      <c r="A80" s="104"/>
      <c r="B80" s="1" t="s">
        <v>137</v>
      </c>
      <c r="E80" s="88">
        <v>0</v>
      </c>
      <c r="F80" s="29"/>
      <c r="G80" s="88">
        <v>0</v>
      </c>
      <c r="H80" s="29"/>
      <c r="I80" s="29">
        <f>E80-G80</f>
        <v>0</v>
      </c>
      <c r="J80" s="49"/>
    </row>
    <row r="81" spans="1:10" ht="12.75" customHeight="1" x14ac:dyDescent="0.2">
      <c r="A81" s="104"/>
      <c r="B81" s="1" t="s">
        <v>138</v>
      </c>
      <c r="E81" s="88">
        <v>0</v>
      </c>
      <c r="F81" s="29"/>
      <c r="G81" s="88">
        <v>0</v>
      </c>
      <c r="H81" s="29"/>
      <c r="I81" s="29">
        <f>E81-G81</f>
        <v>0</v>
      </c>
      <c r="J81" s="49"/>
    </row>
    <row r="82" spans="1:10" ht="12.75" customHeight="1" x14ac:dyDescent="0.2">
      <c r="A82" s="104"/>
      <c r="B82" s="1" t="s">
        <v>139</v>
      </c>
      <c r="E82" s="88">
        <v>0</v>
      </c>
      <c r="F82" s="29"/>
      <c r="G82" s="88">
        <v>0</v>
      </c>
      <c r="H82" s="29"/>
      <c r="I82" s="88">
        <f>E82-G82</f>
        <v>0</v>
      </c>
      <c r="J82" s="49"/>
    </row>
    <row r="83" spans="1:10" ht="12.75" customHeight="1" x14ac:dyDescent="0.2">
      <c r="A83" s="104"/>
      <c r="B83" s="1" t="s">
        <v>140</v>
      </c>
      <c r="E83" s="88">
        <v>0</v>
      </c>
      <c r="F83" s="29"/>
      <c r="G83" s="88">
        <v>0</v>
      </c>
      <c r="H83" s="29"/>
      <c r="I83" s="29">
        <f>E83-G83</f>
        <v>0</v>
      </c>
      <c r="J83" s="49" t="s">
        <v>141</v>
      </c>
    </row>
    <row r="84" spans="1:10" ht="12.75" customHeight="1" x14ac:dyDescent="0.2">
      <c r="A84" s="104"/>
      <c r="B84" s="1" t="s">
        <v>142</v>
      </c>
      <c r="E84" s="89">
        <v>0</v>
      </c>
      <c r="F84" s="29"/>
      <c r="G84" s="89">
        <v>0</v>
      </c>
      <c r="H84" s="29"/>
      <c r="I84" s="30">
        <f>E84-G84</f>
        <v>0</v>
      </c>
      <c r="J84" s="49" t="s">
        <v>143</v>
      </c>
    </row>
    <row r="85" spans="1:10" ht="12.75" customHeight="1" x14ac:dyDescent="0.2">
      <c r="A85" s="104"/>
    </row>
    <row r="87" spans="1:10" ht="15.75" customHeight="1" x14ac:dyDescent="0.25">
      <c r="A87" s="12" t="s">
        <v>144</v>
      </c>
      <c r="E87" s="29"/>
      <c r="F87" s="29"/>
      <c r="G87" s="29"/>
      <c r="H87" s="29"/>
      <c r="I87" s="29"/>
      <c r="J87" s="49"/>
    </row>
    <row r="88" spans="1:10" ht="12.75" customHeight="1" x14ac:dyDescent="0.2">
      <c r="A88" s="1" t="s">
        <v>145</v>
      </c>
      <c r="E88" s="29">
        <f>'Exh C'!$N$48-'Exh D'!L8-'Exh D'!L9-'Exh D'!L10-'Exh E'!D48-'Exh D'!L11-'Exh D'!L12+'Exh E'!D179</f>
        <v>0</v>
      </c>
      <c r="F88" s="29"/>
      <c r="G88" s="88">
        <v>0</v>
      </c>
      <c r="H88" s="29"/>
      <c r="I88" s="29">
        <f>E88-G88</f>
        <v>0</v>
      </c>
      <c r="J88" s="49"/>
    </row>
    <row r="89" spans="1:10" ht="12.75" customHeight="1" x14ac:dyDescent="0.2">
      <c r="A89" s="1" t="s">
        <v>146</v>
      </c>
      <c r="E89" s="88"/>
      <c r="F89" s="29"/>
      <c r="G89" s="88"/>
      <c r="H89" s="29"/>
      <c r="I89" s="29"/>
      <c r="J89" s="49"/>
    </row>
    <row r="90" spans="1:10" ht="12.75" customHeight="1" x14ac:dyDescent="0.2">
      <c r="B90" s="1" t="s">
        <v>147</v>
      </c>
      <c r="E90" s="88"/>
      <c r="F90" s="29"/>
      <c r="G90" s="88"/>
      <c r="H90" s="29"/>
      <c r="I90" s="29"/>
      <c r="J90" s="49"/>
    </row>
    <row r="91" spans="1:10" ht="12.75" customHeight="1" x14ac:dyDescent="0.2">
      <c r="C91" s="1" t="s">
        <v>148</v>
      </c>
      <c r="E91" s="88">
        <v>0</v>
      </c>
      <c r="F91" s="29"/>
      <c r="G91" s="88">
        <v>0</v>
      </c>
      <c r="H91" s="29"/>
      <c r="I91" s="29">
        <f>E91-G91</f>
        <v>0</v>
      </c>
      <c r="J91" s="49"/>
    </row>
    <row r="92" spans="1:10" ht="12.75" customHeight="1" x14ac:dyDescent="0.2">
      <c r="C92" s="1" t="s">
        <v>149</v>
      </c>
      <c r="E92" s="88">
        <v>0</v>
      </c>
      <c r="F92" s="29"/>
      <c r="G92" s="88">
        <v>0</v>
      </c>
      <c r="H92" s="29"/>
      <c r="I92" s="29">
        <f>E92-G92</f>
        <v>0</v>
      </c>
      <c r="J92" s="49"/>
    </row>
    <row r="93" spans="1:10" ht="12.75" customHeight="1" x14ac:dyDescent="0.2">
      <c r="C93" s="1" t="s">
        <v>150</v>
      </c>
      <c r="E93" s="88">
        <v>0</v>
      </c>
      <c r="F93" s="29"/>
      <c r="G93" s="88">
        <v>0</v>
      </c>
      <c r="H93" s="29"/>
      <c r="I93" s="29">
        <f>E93-G93</f>
        <v>0</v>
      </c>
      <c r="J93" s="49"/>
    </row>
    <row r="94" spans="1:10" ht="12.75" customHeight="1" x14ac:dyDescent="0.2">
      <c r="C94" s="1" t="s">
        <v>151</v>
      </c>
      <c r="E94" s="88">
        <v>0</v>
      </c>
      <c r="F94" s="29"/>
      <c r="G94" s="88">
        <v>0</v>
      </c>
      <c r="H94" s="29"/>
      <c r="I94" s="29">
        <f>E94-G94</f>
        <v>0</v>
      </c>
      <c r="J94" s="49"/>
    </row>
    <row r="95" spans="1:10" ht="12.75" customHeight="1" x14ac:dyDescent="0.2">
      <c r="B95" s="1" t="s">
        <v>152</v>
      </c>
      <c r="E95" s="88"/>
      <c r="F95" s="29"/>
      <c r="G95" s="88"/>
      <c r="H95" s="29"/>
      <c r="I95" s="29"/>
      <c r="J95" s="49"/>
    </row>
    <row r="96" spans="1:10" ht="12.75" customHeight="1" x14ac:dyDescent="0.2">
      <c r="C96" s="1" t="s">
        <v>148</v>
      </c>
      <c r="E96" s="88">
        <v>0</v>
      </c>
      <c r="F96" s="29"/>
      <c r="G96" s="88">
        <v>0</v>
      </c>
      <c r="H96" s="29"/>
      <c r="I96" s="29">
        <f t="shared" ref="I96:I101" si="3">E96-G96</f>
        <v>0</v>
      </c>
      <c r="J96" s="49"/>
    </row>
    <row r="97" spans="1:10" ht="12.75" customHeight="1" x14ac:dyDescent="0.2">
      <c r="C97" s="1" t="s">
        <v>149</v>
      </c>
      <c r="E97" s="88">
        <v>0</v>
      </c>
      <c r="F97" s="29"/>
      <c r="G97" s="88">
        <v>0</v>
      </c>
      <c r="H97" s="29"/>
      <c r="I97" s="29">
        <f t="shared" si="3"/>
        <v>0</v>
      </c>
      <c r="J97" s="49"/>
    </row>
    <row r="98" spans="1:10" ht="12.75" customHeight="1" x14ac:dyDescent="0.2">
      <c r="C98" s="1" t="s">
        <v>153</v>
      </c>
      <c r="E98" s="88">
        <v>0</v>
      </c>
      <c r="F98" s="29"/>
      <c r="G98" s="88">
        <v>0</v>
      </c>
      <c r="H98" s="29"/>
      <c r="I98" s="29">
        <f t="shared" si="3"/>
        <v>0</v>
      </c>
      <c r="J98" s="49"/>
    </row>
    <row r="99" spans="1:10" ht="12.75" customHeight="1" x14ac:dyDescent="0.2">
      <c r="C99" s="1" t="s">
        <v>150</v>
      </c>
      <c r="E99" s="88">
        <v>0</v>
      </c>
      <c r="F99" s="29"/>
      <c r="G99" s="88">
        <v>0</v>
      </c>
      <c r="H99" s="29"/>
      <c r="I99" s="29">
        <f t="shared" si="3"/>
        <v>0</v>
      </c>
      <c r="J99" s="49"/>
    </row>
    <row r="100" spans="1:10" ht="12.75" customHeight="1" x14ac:dyDescent="0.2">
      <c r="C100" s="1" t="s">
        <v>151</v>
      </c>
      <c r="E100" s="88">
        <v>0</v>
      </c>
      <c r="F100" s="29"/>
      <c r="G100" s="88">
        <v>0</v>
      </c>
      <c r="H100" s="29"/>
      <c r="I100" s="29">
        <f t="shared" si="3"/>
        <v>0</v>
      </c>
      <c r="J100" s="49"/>
    </row>
    <row r="101" spans="1:10" ht="12.75" customHeight="1" x14ac:dyDescent="0.2">
      <c r="A101" s="1" t="s">
        <v>154</v>
      </c>
      <c r="E101" s="89">
        <v>0</v>
      </c>
      <c r="F101" s="29"/>
      <c r="G101" s="89">
        <v>0</v>
      </c>
      <c r="H101" s="29"/>
      <c r="I101" s="30">
        <f t="shared" si="3"/>
        <v>0</v>
      </c>
      <c r="J101" s="49"/>
    </row>
    <row r="102" spans="1:10" ht="12.75" customHeight="1" thickBot="1" x14ac:dyDescent="0.25">
      <c r="D102" s="1" t="s">
        <v>155</v>
      </c>
      <c r="E102" s="33">
        <f>SUM(E88:E101)</f>
        <v>0</v>
      </c>
      <c r="F102" s="32"/>
      <c r="G102" s="33">
        <f>SUM(G88:G101)</f>
        <v>0</v>
      </c>
      <c r="H102" s="32"/>
      <c r="I102" s="33">
        <f>SUM(I88:I101)</f>
        <v>0</v>
      </c>
      <c r="J102" s="49"/>
    </row>
    <row r="103" spans="1:10" ht="12.75" customHeight="1" thickTop="1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10" ht="19.5" customHeight="1" x14ac:dyDescent="0.35">
      <c r="A104" s="8"/>
      <c r="B104" s="8"/>
      <c r="C104" s="8"/>
      <c r="D104" s="8"/>
      <c r="E104" s="8"/>
      <c r="F104" s="8"/>
      <c r="H104" s="8"/>
      <c r="I104" s="146" t="s">
        <v>135</v>
      </c>
    </row>
    <row r="105" spans="1:10" ht="12.75" customHeight="1" x14ac:dyDescent="0.3">
      <c r="A105" s="7"/>
      <c r="B105" s="8"/>
      <c r="C105" s="8"/>
      <c r="D105" s="8"/>
      <c r="E105" s="8"/>
      <c r="F105" s="8"/>
      <c r="G105" s="8"/>
      <c r="H105" s="8"/>
      <c r="I105" s="9"/>
    </row>
    <row r="106" spans="1:10" ht="20.25" customHeight="1" x14ac:dyDescent="0.3">
      <c r="A106" s="188" t="str">
        <f>Steps!$E$6</f>
        <v>Name of College</v>
      </c>
      <c r="B106" s="188"/>
      <c r="C106" s="188"/>
      <c r="D106" s="188"/>
      <c r="E106" s="188"/>
      <c r="F106" s="188"/>
      <c r="G106" s="188"/>
      <c r="H106" s="188"/>
      <c r="I106" s="188"/>
    </row>
    <row r="107" spans="1:10" ht="20.25" customHeight="1" x14ac:dyDescent="0.3">
      <c r="A107" s="188" t="s">
        <v>75</v>
      </c>
      <c r="B107" s="188"/>
      <c r="C107" s="188"/>
      <c r="D107" s="188"/>
      <c r="E107" s="188"/>
      <c r="F107" s="188"/>
      <c r="G107" s="188"/>
      <c r="H107" s="188"/>
      <c r="I107" s="188"/>
    </row>
    <row r="108" spans="1:10" ht="20.25" customHeight="1" x14ac:dyDescent="0.3">
      <c r="A108" s="188" t="str">
        <f>A5</f>
        <v>June 30, 2025 and 2024</v>
      </c>
      <c r="B108" s="188"/>
      <c r="C108" s="188"/>
      <c r="D108" s="188"/>
      <c r="E108" s="188"/>
      <c r="F108" s="188"/>
      <c r="G108" s="188"/>
      <c r="H108" s="188"/>
      <c r="I108" s="188"/>
    </row>
    <row r="109" spans="1:10" ht="12.75" customHeight="1" thickBot="1" x14ac:dyDescent="0.2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10" ht="12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10" ht="12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10" x14ac:dyDescent="0.2">
      <c r="A112" s="42" t="s">
        <v>156</v>
      </c>
    </row>
    <row r="113" spans="1:13" ht="12.75" customHeight="1" x14ac:dyDescent="0.2"/>
    <row r="114" spans="1:13" x14ac:dyDescent="0.2">
      <c r="A114" s="187" t="s">
        <v>157</v>
      </c>
      <c r="B114" s="187"/>
      <c r="C114" s="57" t="s">
        <v>158</v>
      </c>
    </row>
    <row r="115" spans="1:13" x14ac:dyDescent="0.2">
      <c r="C115" s="57" t="s">
        <v>159</v>
      </c>
    </row>
    <row r="116" spans="1:13" x14ac:dyDescent="0.2">
      <c r="C116" s="57" t="s">
        <v>160</v>
      </c>
    </row>
    <row r="117" spans="1:13" x14ac:dyDescent="0.2">
      <c r="C117" s="57" t="s">
        <v>161</v>
      </c>
    </row>
    <row r="118" spans="1:13" x14ac:dyDescent="0.2">
      <c r="C118" s="57" t="s">
        <v>162</v>
      </c>
    </row>
    <row r="119" spans="1:13" x14ac:dyDescent="0.2">
      <c r="C119" s="57" t="s">
        <v>163</v>
      </c>
    </row>
    <row r="120" spans="1:13" x14ac:dyDescent="0.2">
      <c r="C120" s="57" t="s">
        <v>164</v>
      </c>
    </row>
    <row r="122" spans="1:13" x14ac:dyDescent="0.2">
      <c r="A122" s="187" t="s">
        <v>165</v>
      </c>
      <c r="B122" s="187"/>
      <c r="C122" s="58" t="s">
        <v>166</v>
      </c>
    </row>
    <row r="123" spans="1:13" x14ac:dyDescent="0.2">
      <c r="C123" s="2" t="s">
        <v>24</v>
      </c>
      <c r="D123" s="1" t="s">
        <v>167</v>
      </c>
    </row>
    <row r="125" spans="1:13" x14ac:dyDescent="0.2">
      <c r="A125" s="187" t="s">
        <v>168</v>
      </c>
      <c r="B125" s="187"/>
      <c r="C125" s="1" t="s">
        <v>169</v>
      </c>
    </row>
    <row r="126" spans="1:13" x14ac:dyDescent="0.2">
      <c r="C126" s="2" t="s">
        <v>24</v>
      </c>
      <c r="D126" s="1" t="s">
        <v>170</v>
      </c>
    </row>
    <row r="127" spans="1:13" x14ac:dyDescent="0.2">
      <c r="C127" s="2" t="s">
        <v>24</v>
      </c>
      <c r="D127" s="1" t="s">
        <v>171</v>
      </c>
    </row>
    <row r="128" spans="1:13" ht="12.75" customHeight="1" x14ac:dyDescent="0.25">
      <c r="F128" s="6"/>
      <c r="G128" s="6"/>
      <c r="H128" s="6"/>
      <c r="I128" s="6"/>
      <c r="J128" s="6"/>
      <c r="K128" s="6"/>
      <c r="L128" s="6"/>
      <c r="M128" s="6"/>
    </row>
    <row r="129" spans="1:13" ht="12.75" customHeight="1" x14ac:dyDescent="0.25">
      <c r="A129" s="187" t="s">
        <v>172</v>
      </c>
      <c r="B129" s="187"/>
      <c r="C129" s="57" t="s">
        <v>173</v>
      </c>
      <c r="F129" s="6"/>
      <c r="G129" s="6"/>
      <c r="H129" s="6"/>
      <c r="I129" s="6"/>
      <c r="J129" s="6"/>
      <c r="K129" s="6"/>
      <c r="L129" s="6"/>
      <c r="M129" s="6"/>
    </row>
    <row r="130" spans="1:13" ht="12.75" customHeight="1" x14ac:dyDescent="0.25">
      <c r="C130" s="2" t="s">
        <v>24</v>
      </c>
      <c r="D130" s="1" t="s">
        <v>174</v>
      </c>
      <c r="F130" s="6"/>
      <c r="G130" s="6"/>
      <c r="H130" s="6"/>
      <c r="I130" s="6"/>
      <c r="J130" s="6"/>
      <c r="K130" s="6"/>
      <c r="L130" s="6"/>
      <c r="M130" s="6"/>
    </row>
    <row r="131" spans="1:13" ht="12.75" customHeight="1" x14ac:dyDescent="0.25">
      <c r="C131" s="2" t="s">
        <v>24</v>
      </c>
      <c r="D131" s="1" t="s">
        <v>175</v>
      </c>
      <c r="F131" s="6"/>
      <c r="G131" s="6"/>
      <c r="H131" s="6"/>
      <c r="I131" s="6"/>
      <c r="J131" s="6"/>
      <c r="K131" s="6"/>
      <c r="L131" s="6"/>
      <c r="M131" s="6"/>
    </row>
    <row r="133" spans="1:13" x14ac:dyDescent="0.2">
      <c r="A133" s="187" t="s">
        <v>176</v>
      </c>
      <c r="B133" s="187"/>
      <c r="C133" s="1" t="s">
        <v>177</v>
      </c>
    </row>
    <row r="134" spans="1:13" x14ac:dyDescent="0.2">
      <c r="C134" s="2" t="s">
        <v>24</v>
      </c>
      <c r="D134" s="1" t="s">
        <v>178</v>
      </c>
    </row>
    <row r="136" spans="1:13" x14ac:dyDescent="0.2">
      <c r="A136" s="187" t="s">
        <v>179</v>
      </c>
      <c r="B136" s="187"/>
      <c r="C136" s="57" t="s">
        <v>180</v>
      </c>
    </row>
    <row r="137" spans="1:13" x14ac:dyDescent="0.2">
      <c r="C137" s="57" t="s">
        <v>181</v>
      </c>
    </row>
    <row r="138" spans="1:13" x14ac:dyDescent="0.2">
      <c r="A138" s="57"/>
      <c r="C138" s="2" t="s">
        <v>24</v>
      </c>
      <c r="D138" s="1" t="s">
        <v>182</v>
      </c>
    </row>
    <row r="139" spans="1:13" x14ac:dyDescent="0.2">
      <c r="A139" s="57"/>
      <c r="C139" s="2" t="s">
        <v>24</v>
      </c>
      <c r="D139" s="1" t="s">
        <v>183</v>
      </c>
    </row>
    <row r="140" spans="1:13" x14ac:dyDescent="0.2">
      <c r="A140" s="57"/>
      <c r="C140" s="2"/>
    </row>
    <row r="141" spans="1:13" x14ac:dyDescent="0.2">
      <c r="A141" s="187" t="s">
        <v>184</v>
      </c>
      <c r="B141" s="187"/>
      <c r="C141" s="58" t="s">
        <v>185</v>
      </c>
    </row>
    <row r="142" spans="1:13" x14ac:dyDescent="0.2">
      <c r="A142" s="57"/>
      <c r="C142" s="2" t="s">
        <v>24</v>
      </c>
      <c r="D142" s="1" t="s">
        <v>186</v>
      </c>
    </row>
    <row r="143" spans="1:13" x14ac:dyDescent="0.2">
      <c r="A143" s="57"/>
      <c r="C143" s="2"/>
      <c r="D143" s="1" t="s">
        <v>187</v>
      </c>
    </row>
    <row r="144" spans="1:13" x14ac:dyDescent="0.2">
      <c r="A144" s="57"/>
      <c r="C144" s="2"/>
    </row>
    <row r="145" spans="1:9" x14ac:dyDescent="0.2">
      <c r="A145" s="187" t="s">
        <v>188</v>
      </c>
      <c r="B145" s="187"/>
      <c r="C145" s="58" t="s">
        <v>189</v>
      </c>
    </row>
    <row r="146" spans="1:9" x14ac:dyDescent="0.2">
      <c r="A146" s="57"/>
      <c r="C146" s="2" t="s">
        <v>24</v>
      </c>
      <c r="D146" s="1" t="s">
        <v>190</v>
      </c>
    </row>
    <row r="148" spans="1:9" x14ac:dyDescent="0.2">
      <c r="A148" s="187" t="s">
        <v>191</v>
      </c>
      <c r="B148" s="187"/>
      <c r="C148" s="57" t="s">
        <v>192</v>
      </c>
    </row>
    <row r="149" spans="1:9" x14ac:dyDescent="0.2">
      <c r="A149" s="143"/>
      <c r="B149" s="143"/>
      <c r="C149" s="20" t="s">
        <v>193</v>
      </c>
    </row>
    <row r="150" spans="1:9" x14ac:dyDescent="0.2">
      <c r="D150" s="3" t="s">
        <v>194</v>
      </c>
    </row>
    <row r="151" spans="1:9" x14ac:dyDescent="0.2">
      <c r="B151" s="58"/>
      <c r="D151" s="3" t="s">
        <v>195</v>
      </c>
    </row>
    <row r="152" spans="1:9" x14ac:dyDescent="0.2">
      <c r="B152" s="58"/>
      <c r="D152" s="69" t="s">
        <v>196</v>
      </c>
      <c r="E152" s="20" t="s">
        <v>197</v>
      </c>
    </row>
    <row r="153" spans="1:9" ht="13.5" thickBot="1" x14ac:dyDescent="0.25">
      <c r="D153" s="71" t="s">
        <v>145</v>
      </c>
    </row>
    <row r="154" spans="1:9" ht="13.5" thickTop="1" x14ac:dyDescent="0.2"/>
    <row r="155" spans="1:9" ht="19.5" x14ac:dyDescent="0.35">
      <c r="A155" s="8"/>
      <c r="B155" s="8"/>
      <c r="C155" s="8"/>
      <c r="D155" s="8"/>
      <c r="E155" s="8"/>
      <c r="F155" s="8"/>
      <c r="H155" s="8"/>
      <c r="I155" s="146" t="s">
        <v>135</v>
      </c>
    </row>
    <row r="156" spans="1:9" ht="12.75" customHeight="1" x14ac:dyDescent="0.3">
      <c r="A156" s="7"/>
      <c r="B156" s="8"/>
      <c r="C156" s="8"/>
      <c r="D156" s="8"/>
      <c r="E156" s="8"/>
      <c r="F156" s="8"/>
      <c r="G156" s="8"/>
      <c r="H156" s="8"/>
      <c r="I156" s="9"/>
    </row>
    <row r="157" spans="1:9" ht="20.25" x14ac:dyDescent="0.3">
      <c r="A157" s="188" t="str">
        <f>Steps!$E$6</f>
        <v>Name of College</v>
      </c>
      <c r="B157" s="188"/>
      <c r="C157" s="188"/>
      <c r="D157" s="188"/>
      <c r="E157" s="188"/>
      <c r="F157" s="188"/>
      <c r="G157" s="188"/>
      <c r="H157" s="188"/>
      <c r="I157" s="188"/>
    </row>
    <row r="158" spans="1:9" ht="20.25" x14ac:dyDescent="0.3">
      <c r="A158" s="188" t="s">
        <v>75</v>
      </c>
      <c r="B158" s="188"/>
      <c r="C158" s="188"/>
      <c r="D158" s="188"/>
      <c r="E158" s="188"/>
      <c r="F158" s="188"/>
      <c r="G158" s="188"/>
      <c r="H158" s="188"/>
      <c r="I158" s="188"/>
    </row>
    <row r="159" spans="1:9" ht="20.25" x14ac:dyDescent="0.3">
      <c r="A159" s="188" t="str">
        <f>A5</f>
        <v>June 30, 2025 and 2024</v>
      </c>
      <c r="B159" s="188"/>
      <c r="C159" s="188"/>
      <c r="D159" s="188"/>
      <c r="E159" s="188"/>
      <c r="F159" s="188"/>
      <c r="G159" s="188"/>
      <c r="H159" s="188"/>
      <c r="I159" s="188"/>
    </row>
    <row r="160" spans="1:9" ht="12.75" customHeight="1" thickBot="1" x14ac:dyDescent="0.25">
      <c r="A160" s="10"/>
      <c r="B160" s="10"/>
      <c r="C160" s="10"/>
      <c r="D160" s="10"/>
      <c r="E160" s="10"/>
      <c r="F160" s="10"/>
      <c r="G160" s="10"/>
      <c r="H160" s="10"/>
      <c r="I160" s="10"/>
    </row>
    <row r="163" spans="1:4" x14ac:dyDescent="0.2">
      <c r="A163" s="187" t="s">
        <v>198</v>
      </c>
      <c r="B163" s="187"/>
      <c r="C163" s="1" t="s">
        <v>199</v>
      </c>
    </row>
    <row r="164" spans="1:4" x14ac:dyDescent="0.2">
      <c r="C164" s="1" t="s">
        <v>200</v>
      </c>
    </row>
    <row r="165" spans="1:4" x14ac:dyDescent="0.2">
      <c r="C165" s="1" t="s">
        <v>201</v>
      </c>
    </row>
    <row r="166" spans="1:4" x14ac:dyDescent="0.2">
      <c r="C166" s="2" t="s">
        <v>24</v>
      </c>
      <c r="D166" s="17" t="s">
        <v>202</v>
      </c>
    </row>
    <row r="167" spans="1:4" x14ac:dyDescent="0.2">
      <c r="A167" s="187"/>
      <c r="B167" s="187"/>
      <c r="D167" t="s">
        <v>203</v>
      </c>
    </row>
    <row r="168" spans="1:4" x14ac:dyDescent="0.2">
      <c r="C168" s="2" t="s">
        <v>24</v>
      </c>
      <c r="D168" t="s">
        <v>204</v>
      </c>
    </row>
    <row r="169" spans="1:4" x14ac:dyDescent="0.2">
      <c r="D169" t="s">
        <v>205</v>
      </c>
    </row>
    <row r="170" spans="1:4" x14ac:dyDescent="0.2">
      <c r="A170" s="187"/>
      <c r="B170" s="187"/>
      <c r="D170" t="s">
        <v>206</v>
      </c>
    </row>
    <row r="171" spans="1:4" x14ac:dyDescent="0.2">
      <c r="A171" s="187"/>
      <c r="B171" s="187"/>
      <c r="C171" s="2" t="s">
        <v>24</v>
      </c>
      <c r="D171" t="s">
        <v>207</v>
      </c>
    </row>
    <row r="172" spans="1:4" x14ac:dyDescent="0.2">
      <c r="D172" t="s">
        <v>208</v>
      </c>
    </row>
    <row r="174" spans="1:4" x14ac:dyDescent="0.2">
      <c r="A174" s="187" t="s">
        <v>209</v>
      </c>
      <c r="B174" s="187"/>
      <c r="C174" s="65" t="s">
        <v>210</v>
      </c>
      <c r="D174"/>
    </row>
    <row r="175" spans="1:4" x14ac:dyDescent="0.2">
      <c r="C175" t="s">
        <v>211</v>
      </c>
    </row>
    <row r="176" spans="1:4" x14ac:dyDescent="0.2">
      <c r="C176" t="s">
        <v>212</v>
      </c>
    </row>
    <row r="178" spans="1:3" x14ac:dyDescent="0.2">
      <c r="A178" s="187" t="s">
        <v>213</v>
      </c>
      <c r="B178" s="187"/>
      <c r="C178" s="1" t="s">
        <v>214</v>
      </c>
    </row>
    <row r="179" spans="1:3" x14ac:dyDescent="0.2">
      <c r="C179" s="1" t="s">
        <v>215</v>
      </c>
    </row>
    <row r="180" spans="1:3" x14ac:dyDescent="0.2">
      <c r="C180" s="1" t="s">
        <v>216</v>
      </c>
    </row>
    <row r="182" spans="1:3" x14ac:dyDescent="0.2">
      <c r="A182" s="187" t="s">
        <v>217</v>
      </c>
      <c r="B182" s="187"/>
      <c r="C182" s="1" t="s">
        <v>218</v>
      </c>
    </row>
    <row r="183" spans="1:3" x14ac:dyDescent="0.2">
      <c r="C183" s="1" t="s">
        <v>219</v>
      </c>
    </row>
    <row r="184" spans="1:3" x14ac:dyDescent="0.2">
      <c r="C184" s="1" t="s">
        <v>220</v>
      </c>
    </row>
    <row r="185" spans="1:3" x14ac:dyDescent="0.2">
      <c r="C185" s="1" t="s">
        <v>221</v>
      </c>
    </row>
    <row r="187" spans="1:3" x14ac:dyDescent="0.2">
      <c r="C187" s="1" t="s">
        <v>222</v>
      </c>
    </row>
    <row r="188" spans="1:3" x14ac:dyDescent="0.2">
      <c r="C188" s="1" t="s">
        <v>223</v>
      </c>
    </row>
    <row r="189" spans="1:3" x14ac:dyDescent="0.2">
      <c r="C189" s="1" t="s">
        <v>224</v>
      </c>
    </row>
    <row r="190" spans="1:3" x14ac:dyDescent="0.2">
      <c r="C190" s="1" t="s">
        <v>225</v>
      </c>
    </row>
    <row r="192" spans="1:3" x14ac:dyDescent="0.2">
      <c r="A192" s="102" t="s">
        <v>226</v>
      </c>
    </row>
    <row r="193" spans="1:1" x14ac:dyDescent="0.2">
      <c r="A193" s="102" t="s">
        <v>227</v>
      </c>
    </row>
    <row r="194" spans="1:1" x14ac:dyDescent="0.2">
      <c r="A194" s="102" t="s">
        <v>228</v>
      </c>
    </row>
    <row r="195" spans="1:1" x14ac:dyDescent="0.2">
      <c r="A195" s="102" t="s">
        <v>229</v>
      </c>
    </row>
    <row r="196" spans="1:1" x14ac:dyDescent="0.2">
      <c r="A196" s="102" t="s">
        <v>230</v>
      </c>
    </row>
  </sheetData>
  <sheetProtection algorithmName="SHA-512" hashValue="ItYVXwuNDZAwsvVx77z3SqNdY+Cz9arlrHpMNPi5TWv/HYPb2FXPpa6rfA/UTPL59gshq/MaBgQ+wVj2ljCxiw==" saltValue="TAOsfEvSzCSX6dBeyKsnxw==" spinCount="100000" sheet="1" autoFilter="0"/>
  <mergeCells count="28">
    <mergeCell ref="A129:B129"/>
    <mergeCell ref="A133:B133"/>
    <mergeCell ref="A174:B174"/>
    <mergeCell ref="A167:B167"/>
    <mergeCell ref="A170:B170"/>
    <mergeCell ref="A3:I3"/>
    <mergeCell ref="A4:I4"/>
    <mergeCell ref="A5:I5"/>
    <mergeCell ref="A106:I106"/>
    <mergeCell ref="A72:I72"/>
    <mergeCell ref="A73:I73"/>
    <mergeCell ref="A71:I71"/>
    <mergeCell ref="A182:B182"/>
    <mergeCell ref="A171:B171"/>
    <mergeCell ref="A107:I107"/>
    <mergeCell ref="A108:I108"/>
    <mergeCell ref="A163:B163"/>
    <mergeCell ref="A136:B136"/>
    <mergeCell ref="A148:B148"/>
    <mergeCell ref="A114:B114"/>
    <mergeCell ref="A157:I157"/>
    <mergeCell ref="A158:I158"/>
    <mergeCell ref="A159:I159"/>
    <mergeCell ref="A178:B178"/>
    <mergeCell ref="A141:B141"/>
    <mergeCell ref="A145:B145"/>
    <mergeCell ref="A122:B122"/>
    <mergeCell ref="A125:B125"/>
  </mergeCells>
  <phoneticPr fontId="0" type="noConversion"/>
  <pageMargins left="0.6" right="0.6" top="0.5" bottom="0.5" header="0.5" footer="0.25"/>
  <pageSetup orientation="landscape" r:id="rId1"/>
  <headerFooter alignWithMargins="0">
    <oddFooter>Page &amp;P of &amp;N</oddFooter>
  </headerFooter>
  <rowBreaks count="2" manualBreakCount="2">
    <brk id="103" max="16383" man="1"/>
    <brk id="154" max="16383" man="1"/>
  </rowBreaks>
  <ignoredErrors>
    <ignoredError sqref="A163 A174 A114 A122 A125 A129 A133 A136 A141 A145 A148 A178 A182" numberStoredAsText="1"/>
    <ignoredError sqref="I84 I8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107"/>
  <sheetViews>
    <sheetView topLeftCell="A26" zoomScaleNormal="100" workbookViewId="0">
      <selection activeCell="E42" sqref="E42"/>
    </sheetView>
  </sheetViews>
  <sheetFormatPr defaultRowHeight="12.75" x14ac:dyDescent="0.2"/>
  <cols>
    <col min="1" max="3" width="2.7109375" customWidth="1"/>
    <col min="4" max="4" width="58.7109375" customWidth="1"/>
    <col min="5" max="5" width="16.7109375" customWidth="1"/>
    <col min="6" max="6" width="4.42578125" customWidth="1"/>
  </cols>
  <sheetData>
    <row r="1" spans="1:6" ht="19.5" x14ac:dyDescent="0.35">
      <c r="A1" s="8"/>
      <c r="B1" s="8"/>
      <c r="C1" s="8"/>
      <c r="D1" s="8"/>
      <c r="E1" s="146" t="s">
        <v>231</v>
      </c>
    </row>
    <row r="2" spans="1:6" ht="12.75" customHeight="1" x14ac:dyDescent="0.3">
      <c r="A2" s="7"/>
      <c r="B2" s="8"/>
      <c r="C2" s="8"/>
      <c r="D2" s="8"/>
      <c r="E2" s="8"/>
      <c r="F2" s="8"/>
    </row>
    <row r="3" spans="1:6" ht="20.25" x14ac:dyDescent="0.3">
      <c r="A3" s="188" t="str">
        <f>Steps!$E$6</f>
        <v>Name of College</v>
      </c>
      <c r="B3" s="188"/>
      <c r="C3" s="188"/>
      <c r="D3" s="188"/>
      <c r="E3" s="188"/>
      <c r="F3" s="144"/>
    </row>
    <row r="4" spans="1:6" ht="20.25" x14ac:dyDescent="0.3">
      <c r="A4" s="188" t="s">
        <v>232</v>
      </c>
      <c r="B4" s="188"/>
      <c r="C4" s="188"/>
      <c r="D4" s="188"/>
      <c r="E4" s="188"/>
      <c r="F4" s="144"/>
    </row>
    <row r="5" spans="1:6" ht="20.25" x14ac:dyDescent="0.3">
      <c r="A5" s="188" t="s">
        <v>1013</v>
      </c>
      <c r="B5" s="188"/>
      <c r="C5" s="188"/>
      <c r="D5" s="188"/>
      <c r="E5" s="188"/>
      <c r="F5" s="144"/>
    </row>
    <row r="6" spans="1:6" ht="12.75" customHeight="1" thickBot="1" x14ac:dyDescent="0.25">
      <c r="A6" s="10"/>
      <c r="B6" s="10"/>
      <c r="C6" s="10"/>
      <c r="D6" s="10"/>
      <c r="E6" s="10"/>
      <c r="F6" s="15"/>
    </row>
    <row r="9" spans="1:6" x14ac:dyDescent="0.2">
      <c r="E9" s="14">
        <v>2025</v>
      </c>
      <c r="F9" s="22"/>
    </row>
    <row r="10" spans="1:6" x14ac:dyDescent="0.2">
      <c r="A10" s="16" t="s">
        <v>233</v>
      </c>
      <c r="F10" s="22"/>
    </row>
    <row r="11" spans="1:6" x14ac:dyDescent="0.2">
      <c r="B11" t="s">
        <v>234</v>
      </c>
      <c r="E11" s="90">
        <v>0</v>
      </c>
      <c r="F11" s="49" t="s">
        <v>235</v>
      </c>
    </row>
    <row r="12" spans="1:6" x14ac:dyDescent="0.2">
      <c r="B12" t="s">
        <v>236</v>
      </c>
      <c r="E12" s="91">
        <v>0</v>
      </c>
      <c r="F12" s="49" t="s">
        <v>237</v>
      </c>
    </row>
    <row r="13" spans="1:6" x14ac:dyDescent="0.2">
      <c r="B13" t="s">
        <v>238</v>
      </c>
      <c r="E13" s="91">
        <v>0</v>
      </c>
      <c r="F13" s="49" t="s">
        <v>239</v>
      </c>
    </row>
    <row r="14" spans="1:6" x14ac:dyDescent="0.2">
      <c r="B14" t="s">
        <v>240</v>
      </c>
      <c r="E14" s="91">
        <v>0</v>
      </c>
      <c r="F14" s="49" t="s">
        <v>241</v>
      </c>
    </row>
    <row r="15" spans="1:6" x14ac:dyDescent="0.2">
      <c r="B15" t="s">
        <v>242</v>
      </c>
      <c r="E15" s="91">
        <v>0</v>
      </c>
      <c r="F15" s="49" t="s">
        <v>243</v>
      </c>
    </row>
    <row r="16" spans="1:6" x14ac:dyDescent="0.2">
      <c r="B16" s="1" t="s">
        <v>244</v>
      </c>
      <c r="E16" s="91">
        <v>0</v>
      </c>
      <c r="F16" s="49" t="s">
        <v>245</v>
      </c>
    </row>
    <row r="17" spans="1:6" x14ac:dyDescent="0.2">
      <c r="B17" t="s">
        <v>246</v>
      </c>
      <c r="E17" s="92">
        <v>0</v>
      </c>
      <c r="F17" s="49" t="s">
        <v>84</v>
      </c>
    </row>
    <row r="18" spans="1:6" x14ac:dyDescent="0.2">
      <c r="C18" t="s">
        <v>247</v>
      </c>
      <c r="E18" s="25">
        <f>SUM(E11:E17)</f>
        <v>0</v>
      </c>
      <c r="F18" s="49"/>
    </row>
    <row r="19" spans="1:6" x14ac:dyDescent="0.2">
      <c r="E19" s="24"/>
      <c r="F19" s="49"/>
    </row>
    <row r="20" spans="1:6" x14ac:dyDescent="0.2">
      <c r="A20" s="16" t="s">
        <v>248</v>
      </c>
      <c r="E20" s="24"/>
      <c r="F20" s="49"/>
    </row>
    <row r="21" spans="1:6" x14ac:dyDescent="0.2">
      <c r="B21" t="s">
        <v>249</v>
      </c>
      <c r="E21" s="91">
        <v>0</v>
      </c>
      <c r="F21" s="49" t="s">
        <v>250</v>
      </c>
    </row>
    <row r="22" spans="1:6" x14ac:dyDescent="0.2">
      <c r="B22" t="s">
        <v>251</v>
      </c>
      <c r="E22" s="91">
        <v>0</v>
      </c>
      <c r="F22" s="49" t="s">
        <v>252</v>
      </c>
    </row>
    <row r="23" spans="1:6" x14ac:dyDescent="0.2">
      <c r="B23" t="s">
        <v>253</v>
      </c>
      <c r="E23" s="91">
        <v>0</v>
      </c>
      <c r="F23" s="49" t="s">
        <v>254</v>
      </c>
    </row>
    <row r="24" spans="1:6" x14ac:dyDescent="0.2">
      <c r="B24" t="s">
        <v>148</v>
      </c>
      <c r="E24" s="91">
        <v>0</v>
      </c>
      <c r="F24" s="49" t="s">
        <v>255</v>
      </c>
    </row>
    <row r="25" spans="1:6" x14ac:dyDescent="0.2">
      <c r="B25" t="s">
        <v>256</v>
      </c>
      <c r="E25" s="91">
        <v>0</v>
      </c>
      <c r="F25" s="49" t="s">
        <v>257</v>
      </c>
    </row>
    <row r="26" spans="1:6" x14ac:dyDescent="0.2">
      <c r="B26" t="s">
        <v>258</v>
      </c>
      <c r="E26" s="92">
        <v>0</v>
      </c>
      <c r="F26" s="49" t="s">
        <v>259</v>
      </c>
    </row>
    <row r="27" spans="1:6" x14ac:dyDescent="0.2">
      <c r="C27" t="s">
        <v>260</v>
      </c>
      <c r="E27" s="26">
        <f>SUM(E21:E26)</f>
        <v>0</v>
      </c>
      <c r="F27" s="49"/>
    </row>
    <row r="28" spans="1:6" x14ac:dyDescent="0.2">
      <c r="D28" s="1" t="s">
        <v>261</v>
      </c>
      <c r="E28" s="26">
        <f>E18-E27</f>
        <v>0</v>
      </c>
      <c r="F28" s="49"/>
    </row>
    <row r="29" spans="1:6" x14ac:dyDescent="0.2">
      <c r="E29" s="24"/>
      <c r="F29" s="49"/>
    </row>
    <row r="30" spans="1:6" x14ac:dyDescent="0.2">
      <c r="A30" s="16" t="s">
        <v>262</v>
      </c>
      <c r="E30" s="24"/>
      <c r="F30" s="49"/>
    </row>
    <row r="31" spans="1:6" x14ac:dyDescent="0.2">
      <c r="A31" s="16"/>
      <c r="B31" t="s">
        <v>263</v>
      </c>
      <c r="E31" s="91">
        <v>0</v>
      </c>
      <c r="F31" s="49" t="s">
        <v>264</v>
      </c>
    </row>
    <row r="32" spans="1:6" x14ac:dyDescent="0.2">
      <c r="A32" s="16"/>
      <c r="B32" t="s">
        <v>265</v>
      </c>
      <c r="E32" s="91">
        <v>0</v>
      </c>
      <c r="F32" s="49" t="s">
        <v>266</v>
      </c>
    </row>
    <row r="33" spans="1:6" x14ac:dyDescent="0.2">
      <c r="A33" s="16"/>
      <c r="B33" t="s">
        <v>267</v>
      </c>
      <c r="E33" s="91">
        <v>0</v>
      </c>
      <c r="F33" s="49" t="s">
        <v>268</v>
      </c>
    </row>
    <row r="34" spans="1:6" x14ac:dyDescent="0.2">
      <c r="A34" s="16"/>
      <c r="B34" t="s">
        <v>269</v>
      </c>
      <c r="E34" s="91">
        <v>0</v>
      </c>
      <c r="F34" s="49" t="s">
        <v>270</v>
      </c>
    </row>
    <row r="35" spans="1:6" x14ac:dyDescent="0.2">
      <c r="A35" s="16"/>
      <c r="B35" t="s">
        <v>271</v>
      </c>
      <c r="E35" s="91">
        <v>0</v>
      </c>
      <c r="F35" s="49" t="s">
        <v>272</v>
      </c>
    </row>
    <row r="36" spans="1:6" hidden="1" x14ac:dyDescent="0.2">
      <c r="A36" s="16"/>
      <c r="B36" s="1" t="s">
        <v>273</v>
      </c>
      <c r="E36" s="91">
        <v>0</v>
      </c>
      <c r="F36" s="49" t="s">
        <v>274</v>
      </c>
    </row>
    <row r="37" spans="1:6" x14ac:dyDescent="0.2">
      <c r="A37" s="16"/>
      <c r="B37" s="1" t="s">
        <v>275</v>
      </c>
      <c r="E37" s="91">
        <v>0</v>
      </c>
      <c r="F37" s="49" t="s">
        <v>276</v>
      </c>
    </row>
    <row r="38" spans="1:6" hidden="1" x14ac:dyDescent="0.2">
      <c r="B38" s="1" t="s">
        <v>277</v>
      </c>
      <c r="E38" s="91">
        <v>0</v>
      </c>
      <c r="F38" s="49" t="s">
        <v>278</v>
      </c>
    </row>
    <row r="39" spans="1:6" hidden="1" x14ac:dyDescent="0.2">
      <c r="B39" s="1" t="s">
        <v>279</v>
      </c>
      <c r="E39" s="91">
        <v>0</v>
      </c>
      <c r="F39" s="49" t="s">
        <v>280</v>
      </c>
    </row>
    <row r="40" spans="1:6" x14ac:dyDescent="0.2">
      <c r="B40" s="1" t="s">
        <v>281</v>
      </c>
      <c r="E40" s="91">
        <v>0</v>
      </c>
      <c r="F40" s="49" t="s">
        <v>84</v>
      </c>
    </row>
    <row r="41" spans="1:6" x14ac:dyDescent="0.2">
      <c r="B41" t="s">
        <v>282</v>
      </c>
      <c r="E41" s="91">
        <v>0</v>
      </c>
      <c r="F41" s="49" t="s">
        <v>283</v>
      </c>
    </row>
    <row r="42" spans="1:6" x14ac:dyDescent="0.2">
      <c r="B42" s="179" t="s">
        <v>1031</v>
      </c>
      <c r="C42" s="179"/>
      <c r="D42" s="179"/>
      <c r="E42" s="91">
        <v>0</v>
      </c>
      <c r="F42" s="49" t="s">
        <v>284</v>
      </c>
    </row>
    <row r="43" spans="1:6" x14ac:dyDescent="0.2">
      <c r="B43" t="s">
        <v>285</v>
      </c>
      <c r="E43" s="92">
        <v>0</v>
      </c>
      <c r="F43" s="49" t="s">
        <v>84</v>
      </c>
    </row>
    <row r="44" spans="1:6" x14ac:dyDescent="0.2">
      <c r="C44" t="s">
        <v>286</v>
      </c>
      <c r="E44" s="26">
        <f>SUM(E31:E43)</f>
        <v>0</v>
      </c>
      <c r="F44" s="49"/>
    </row>
    <row r="45" spans="1:6" x14ac:dyDescent="0.2">
      <c r="D45" t="s">
        <v>287</v>
      </c>
      <c r="E45" s="24">
        <f>E28+E44</f>
        <v>0</v>
      </c>
      <c r="F45" s="49"/>
    </row>
    <row r="46" spans="1:6" x14ac:dyDescent="0.2">
      <c r="A46" t="s">
        <v>288</v>
      </c>
      <c r="E46" s="91">
        <v>0</v>
      </c>
      <c r="F46" s="49" t="s">
        <v>289</v>
      </c>
    </row>
    <row r="47" spans="1:6" x14ac:dyDescent="0.2">
      <c r="A47" t="s">
        <v>290</v>
      </c>
      <c r="E47" s="91">
        <v>0</v>
      </c>
      <c r="F47" s="49" t="s">
        <v>291</v>
      </c>
    </row>
    <row r="48" spans="1:6" x14ac:dyDescent="0.2">
      <c r="A48" t="s">
        <v>292</v>
      </c>
      <c r="E48" s="91">
        <v>0</v>
      </c>
      <c r="F48" s="49" t="s">
        <v>293</v>
      </c>
    </row>
    <row r="49" spans="1:6" hidden="1" x14ac:dyDescent="0.2">
      <c r="A49" s="120" t="s">
        <v>294</v>
      </c>
      <c r="E49" s="91">
        <v>0</v>
      </c>
      <c r="F49" s="49" t="s">
        <v>295</v>
      </c>
    </row>
    <row r="50" spans="1:6" hidden="1" x14ac:dyDescent="0.2">
      <c r="A50" s="120" t="s">
        <v>296</v>
      </c>
      <c r="E50" s="91">
        <v>0</v>
      </c>
      <c r="F50" s="49" t="s">
        <v>297</v>
      </c>
    </row>
    <row r="51" spans="1:6" x14ac:dyDescent="0.2">
      <c r="A51" t="s">
        <v>298</v>
      </c>
      <c r="E51" s="91">
        <v>0</v>
      </c>
      <c r="F51" s="49" t="s">
        <v>299</v>
      </c>
    </row>
    <row r="52" spans="1:6" x14ac:dyDescent="0.2">
      <c r="A52" t="s">
        <v>300</v>
      </c>
      <c r="E52" s="91">
        <v>0</v>
      </c>
      <c r="F52" s="49" t="s">
        <v>84</v>
      </c>
    </row>
    <row r="53" spans="1:6" x14ac:dyDescent="0.2">
      <c r="A53" t="s">
        <v>301</v>
      </c>
      <c r="E53" s="92">
        <v>0</v>
      </c>
      <c r="F53" s="49" t="s">
        <v>84</v>
      </c>
    </row>
    <row r="54" spans="1:6" x14ac:dyDescent="0.2">
      <c r="D54" t="s">
        <v>302</v>
      </c>
      <c r="E54" s="24">
        <f>SUM(E45:E53)</f>
        <v>0</v>
      </c>
      <c r="F54" s="22"/>
    </row>
    <row r="55" spans="1:6" x14ac:dyDescent="0.2">
      <c r="A55" t="s">
        <v>303</v>
      </c>
      <c r="E55" s="91">
        <v>0</v>
      </c>
      <c r="F55" s="22"/>
    </row>
    <row r="56" spans="1:6" x14ac:dyDescent="0.2">
      <c r="A56" t="s">
        <v>304</v>
      </c>
      <c r="E56" s="92">
        <v>0</v>
      </c>
      <c r="F56" s="22"/>
    </row>
    <row r="57" spans="1:6" ht="13.5" thickBot="1" x14ac:dyDescent="0.25">
      <c r="A57" t="s">
        <v>305</v>
      </c>
      <c r="E57" s="34">
        <f>SUM(E54:E56)</f>
        <v>0</v>
      </c>
      <c r="F57" s="22"/>
    </row>
    <row r="58" spans="1:6" ht="13.5" thickTop="1" x14ac:dyDescent="0.2">
      <c r="E58" s="27"/>
      <c r="F58" s="22"/>
    </row>
    <row r="59" spans="1:6" ht="19.5" customHeight="1" x14ac:dyDescent="0.35">
      <c r="A59" s="8"/>
      <c r="B59" s="8"/>
      <c r="C59" s="8"/>
      <c r="D59" s="8"/>
      <c r="E59" s="146" t="s">
        <v>306</v>
      </c>
    </row>
    <row r="60" spans="1:6" ht="12.75" customHeight="1" x14ac:dyDescent="0.3">
      <c r="A60" s="7"/>
      <c r="B60" s="8"/>
      <c r="C60" s="8"/>
      <c r="D60" s="8"/>
      <c r="E60" s="8"/>
    </row>
    <row r="61" spans="1:6" ht="20.25" customHeight="1" x14ac:dyDescent="0.3">
      <c r="A61" s="188" t="str">
        <f>Steps!$E$6</f>
        <v>Name of College</v>
      </c>
      <c r="B61" s="188"/>
      <c r="C61" s="188"/>
      <c r="D61" s="188"/>
      <c r="E61" s="188"/>
    </row>
    <row r="62" spans="1:6" ht="20.25" customHeight="1" x14ac:dyDescent="0.3">
      <c r="A62" s="188" t="s">
        <v>232</v>
      </c>
      <c r="B62" s="188"/>
      <c r="C62" s="188"/>
      <c r="D62" s="188"/>
      <c r="E62" s="188"/>
    </row>
    <row r="63" spans="1:6" ht="20.25" customHeight="1" x14ac:dyDescent="0.3">
      <c r="A63" s="188" t="str">
        <f>A5</f>
        <v>For the Fiscal Year Ended June 30, 2025</v>
      </c>
      <c r="B63" s="188"/>
      <c r="C63" s="188"/>
      <c r="D63" s="188"/>
      <c r="E63" s="188"/>
    </row>
    <row r="64" spans="1:6" ht="12.75" customHeight="1" thickBot="1" x14ac:dyDescent="0.25">
      <c r="A64" s="23"/>
      <c r="B64" s="23"/>
      <c r="C64" s="23"/>
      <c r="D64" s="23"/>
      <c r="E64" s="23"/>
    </row>
    <row r="67" spans="1:5" x14ac:dyDescent="0.2">
      <c r="A67" s="42" t="s">
        <v>156</v>
      </c>
    </row>
    <row r="68" spans="1:5" x14ac:dyDescent="0.2">
      <c r="A68" s="42"/>
    </row>
    <row r="69" spans="1:5" x14ac:dyDescent="0.2">
      <c r="A69" s="189" t="s">
        <v>157</v>
      </c>
      <c r="B69" s="189"/>
      <c r="C69" t="s">
        <v>307</v>
      </c>
    </row>
    <row r="70" spans="1:5" x14ac:dyDescent="0.2">
      <c r="A70" s="145"/>
      <c r="B70" s="145"/>
      <c r="C70" t="s">
        <v>308</v>
      </c>
    </row>
    <row r="71" spans="1:5" x14ac:dyDescent="0.2">
      <c r="C71" s="22" t="s">
        <v>24</v>
      </c>
      <c r="D71" t="s">
        <v>309</v>
      </c>
      <c r="E71" s="27"/>
    </row>
    <row r="72" spans="1:5" x14ac:dyDescent="0.2">
      <c r="C72" s="22" t="s">
        <v>24</v>
      </c>
      <c r="D72" t="s">
        <v>310</v>
      </c>
      <c r="E72" s="24"/>
    </row>
    <row r="73" spans="1:5" x14ac:dyDescent="0.2">
      <c r="C73" s="22" t="s">
        <v>24</v>
      </c>
      <c r="D73" t="s">
        <v>311</v>
      </c>
      <c r="E73" s="24"/>
    </row>
    <row r="74" spans="1:5" x14ac:dyDescent="0.2">
      <c r="C74" s="22" t="s">
        <v>24</v>
      </c>
      <c r="D74" t="s">
        <v>312</v>
      </c>
      <c r="E74" s="24"/>
    </row>
    <row r="75" spans="1:5" x14ac:dyDescent="0.2">
      <c r="C75" s="22" t="s">
        <v>24</v>
      </c>
      <c r="D75" t="s">
        <v>313</v>
      </c>
      <c r="E75" s="24"/>
    </row>
    <row r="77" spans="1:5" x14ac:dyDescent="0.2">
      <c r="A77" s="189" t="s">
        <v>165</v>
      </c>
      <c r="B77" s="189"/>
      <c r="C77" t="s">
        <v>314</v>
      </c>
    </row>
    <row r="78" spans="1:5" x14ac:dyDescent="0.2">
      <c r="C78" t="s">
        <v>315</v>
      </c>
    </row>
    <row r="79" spans="1:5" x14ac:dyDescent="0.2">
      <c r="C79" t="s">
        <v>316</v>
      </c>
    </row>
    <row r="81" spans="1:4" x14ac:dyDescent="0.2">
      <c r="A81" s="189" t="s">
        <v>168</v>
      </c>
      <c r="B81" s="189"/>
      <c r="C81" t="s">
        <v>317</v>
      </c>
    </row>
    <row r="82" spans="1:4" x14ac:dyDescent="0.2">
      <c r="C82" s="22" t="s">
        <v>24</v>
      </c>
      <c r="D82" t="s">
        <v>318</v>
      </c>
    </row>
    <row r="84" spans="1:4" x14ac:dyDescent="0.2">
      <c r="A84" s="189" t="s">
        <v>172</v>
      </c>
      <c r="B84" s="189"/>
      <c r="C84" t="s">
        <v>319</v>
      </c>
    </row>
    <row r="85" spans="1:4" x14ac:dyDescent="0.2">
      <c r="C85" t="s">
        <v>320</v>
      </c>
    </row>
    <row r="86" spans="1:4" x14ac:dyDescent="0.2">
      <c r="C86" s="22" t="s">
        <v>24</v>
      </c>
      <c r="D86" t="s">
        <v>321</v>
      </c>
    </row>
    <row r="87" spans="1:4" x14ac:dyDescent="0.2">
      <c r="C87" s="22"/>
    </row>
    <row r="88" spans="1:4" x14ac:dyDescent="0.2">
      <c r="A88" s="189" t="s">
        <v>176</v>
      </c>
      <c r="B88" s="189"/>
      <c r="C88" s="65" t="s">
        <v>322</v>
      </c>
    </row>
    <row r="89" spans="1:4" x14ac:dyDescent="0.2">
      <c r="C89" s="22" t="s">
        <v>24</v>
      </c>
      <c r="D89" t="s">
        <v>323</v>
      </c>
    </row>
    <row r="90" spans="1:4" x14ac:dyDescent="0.2">
      <c r="C90" s="22"/>
    </row>
    <row r="91" spans="1:4" x14ac:dyDescent="0.2">
      <c r="A91" s="189" t="s">
        <v>179</v>
      </c>
      <c r="B91" s="189"/>
      <c r="C91" s="65" t="s">
        <v>324</v>
      </c>
    </row>
    <row r="92" spans="1:4" x14ac:dyDescent="0.2">
      <c r="C92" s="22" t="s">
        <v>24</v>
      </c>
      <c r="D92" t="s">
        <v>325</v>
      </c>
    </row>
    <row r="93" spans="1:4" x14ac:dyDescent="0.2">
      <c r="C93" s="22"/>
      <c r="D93" t="s">
        <v>326</v>
      </c>
    </row>
    <row r="94" spans="1:4" x14ac:dyDescent="0.2">
      <c r="C94" s="22"/>
    </row>
    <row r="95" spans="1:4" x14ac:dyDescent="0.2">
      <c r="A95" s="189" t="s">
        <v>184</v>
      </c>
      <c r="B95" s="189"/>
      <c r="C95" s="65" t="s">
        <v>327</v>
      </c>
    </row>
    <row r="96" spans="1:4" x14ac:dyDescent="0.2">
      <c r="C96" s="22" t="s">
        <v>24</v>
      </c>
      <c r="D96" t="s">
        <v>328</v>
      </c>
    </row>
    <row r="98" spans="1:5" x14ac:dyDescent="0.2">
      <c r="A98" s="189" t="s">
        <v>188</v>
      </c>
      <c r="B98" s="189"/>
      <c r="C98" t="s">
        <v>329</v>
      </c>
    </row>
    <row r="99" spans="1:5" x14ac:dyDescent="0.2">
      <c r="C99" t="s">
        <v>330</v>
      </c>
    </row>
    <row r="100" spans="1:5" x14ac:dyDescent="0.2">
      <c r="C100" t="s">
        <v>331</v>
      </c>
    </row>
    <row r="101" spans="1:5" x14ac:dyDescent="0.2">
      <c r="C101" t="s">
        <v>332</v>
      </c>
    </row>
    <row r="104" spans="1:5" x14ac:dyDescent="0.2">
      <c r="A104" s="42" t="s">
        <v>333</v>
      </c>
    </row>
    <row r="106" spans="1:5" x14ac:dyDescent="0.2">
      <c r="A106" s="22" t="s">
        <v>24</v>
      </c>
      <c r="B106" t="s">
        <v>334</v>
      </c>
      <c r="E106" s="41" t="str">
        <f>IF(E57='Exh A'!E102,"OK","ERROR")</f>
        <v>OK</v>
      </c>
    </row>
    <row r="107" spans="1:5" x14ac:dyDescent="0.2">
      <c r="A107" s="22" t="s">
        <v>24</v>
      </c>
      <c r="B107" t="s">
        <v>335</v>
      </c>
      <c r="E107" s="41" t="str">
        <f>IF(E55='Exh A'!G102,"OK","ERROR")</f>
        <v>OK</v>
      </c>
    </row>
  </sheetData>
  <sheetProtection algorithmName="SHA-512" hashValue="1AcG+KcNgfjjxwI++CqR1Envf0zUr3Bj11QbFtEB2QeueqRAYHztwn8l4q1eVZN+IqvFdAvvxSLqdeMAW7ljxw==" saltValue="gz23RxtUbxrhEpm9Xm+/eQ==" spinCount="100000" sheet="1" autoFilter="0"/>
  <mergeCells count="14">
    <mergeCell ref="A3:E3"/>
    <mergeCell ref="A4:E4"/>
    <mergeCell ref="A5:E5"/>
    <mergeCell ref="A61:E61"/>
    <mergeCell ref="A98:B98"/>
    <mergeCell ref="A77:B77"/>
    <mergeCell ref="A69:B69"/>
    <mergeCell ref="A62:E62"/>
    <mergeCell ref="A63:E63"/>
    <mergeCell ref="A81:B81"/>
    <mergeCell ref="A84:B84"/>
    <mergeCell ref="A88:B88"/>
    <mergeCell ref="A95:B95"/>
    <mergeCell ref="A91:B91"/>
  </mergeCells>
  <phoneticPr fontId="0" type="noConversion"/>
  <conditionalFormatting sqref="E106:E107">
    <cfRule type="cellIs" dxfId="17" priority="1" stopIfTrue="1" operator="equal">
      <formula>"ERROR"</formula>
    </cfRule>
  </conditionalFormatting>
  <pageMargins left="0.85" right="0.85" top="0.5" bottom="0.5" header="0.5" footer="0.25"/>
  <pageSetup orientation="portrait" r:id="rId1"/>
  <headerFooter alignWithMargins="0">
    <oddFooter>Page &amp;P of &amp;N</oddFooter>
  </headerFooter>
  <rowBreaks count="1" manualBreakCount="1">
    <brk id="58" max="16383" man="1"/>
  </rowBreaks>
  <ignoredErrors>
    <ignoredError sqref="A77 A81 A84 A88 A91 A95 A9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N105"/>
  <sheetViews>
    <sheetView zoomScaleNormal="85" workbookViewId="0">
      <selection activeCell="J84" sqref="J84"/>
    </sheetView>
  </sheetViews>
  <sheetFormatPr defaultRowHeight="12.75" x14ac:dyDescent="0.2"/>
  <cols>
    <col min="1" max="4" width="2.7109375" customWidth="1"/>
    <col min="5" max="5" width="40" customWidth="1"/>
    <col min="6" max="6" width="15.7109375" customWidth="1"/>
    <col min="7" max="7" width="3.5703125" customWidth="1"/>
    <col min="8" max="8" width="13.7109375" customWidth="1"/>
    <col min="9" max="9" width="1.7109375" customWidth="1"/>
    <col min="10" max="10" width="14.7109375" customWidth="1"/>
    <col min="11" max="11" width="1.7109375" customWidth="1"/>
    <col min="12" max="12" width="14.7109375" customWidth="1"/>
    <col min="13" max="13" width="1.7109375" customWidth="1"/>
    <col min="14" max="14" width="15.7109375" customWidth="1"/>
  </cols>
  <sheetData>
    <row r="1" spans="1:14" x14ac:dyDescent="0.2">
      <c r="A1" s="16" t="str">
        <f>Steps!$E$6</f>
        <v>Name of College</v>
      </c>
      <c r="B1" s="16"/>
      <c r="N1" s="50" t="s">
        <v>336</v>
      </c>
    </row>
    <row r="2" spans="1:14" x14ac:dyDescent="0.2">
      <c r="A2" s="16" t="s">
        <v>337</v>
      </c>
    </row>
    <row r="3" spans="1:14" x14ac:dyDescent="0.2">
      <c r="A3" s="16" t="s">
        <v>1013</v>
      </c>
    </row>
    <row r="4" spans="1:14" ht="13.5" thickBot="1" x14ac:dyDescent="0.25">
      <c r="A4" s="3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x14ac:dyDescent="0.2">
      <c r="A5" s="16"/>
    </row>
    <row r="6" spans="1:14" x14ac:dyDescent="0.2">
      <c r="A6" s="3"/>
      <c r="B6" s="3"/>
      <c r="C6" s="3"/>
      <c r="D6" s="3"/>
      <c r="E6" s="3"/>
      <c r="F6" s="73" t="s">
        <v>338</v>
      </c>
      <c r="G6" s="73"/>
      <c r="H6" s="73" t="s">
        <v>339</v>
      </c>
      <c r="I6" s="73"/>
      <c r="J6" s="73"/>
      <c r="K6" s="73"/>
      <c r="L6" s="73"/>
      <c r="M6" s="73"/>
      <c r="N6" s="73" t="s">
        <v>340</v>
      </c>
    </row>
    <row r="7" spans="1:14" x14ac:dyDescent="0.2">
      <c r="A7" s="3"/>
      <c r="B7" s="3"/>
      <c r="C7" s="3"/>
      <c r="D7" s="3"/>
      <c r="E7" s="3"/>
      <c r="F7" s="74" t="s">
        <v>341</v>
      </c>
      <c r="G7" s="73"/>
      <c r="H7" s="74" t="s">
        <v>342</v>
      </c>
      <c r="I7" s="75"/>
      <c r="J7" s="74" t="s">
        <v>343</v>
      </c>
      <c r="K7" s="75"/>
      <c r="L7" s="74" t="s">
        <v>344</v>
      </c>
      <c r="M7" s="75"/>
      <c r="N7" s="74" t="s">
        <v>341</v>
      </c>
    </row>
    <row r="8" spans="1:14" x14ac:dyDescent="0.2">
      <c r="A8" s="76" t="s">
        <v>345</v>
      </c>
      <c r="B8" s="3"/>
      <c r="C8" s="3"/>
      <c r="D8" s="3"/>
      <c r="E8" s="3"/>
      <c r="F8" s="77"/>
      <c r="G8" s="77"/>
      <c r="H8" s="77"/>
      <c r="I8" s="77"/>
      <c r="J8" s="77"/>
      <c r="K8" s="77"/>
      <c r="L8" s="77"/>
      <c r="M8" s="77"/>
      <c r="N8" s="77"/>
    </row>
    <row r="9" spans="1:14" x14ac:dyDescent="0.2">
      <c r="A9" s="3"/>
      <c r="B9" s="3" t="s">
        <v>346</v>
      </c>
      <c r="C9" s="3"/>
      <c r="D9" s="3"/>
      <c r="E9" s="3"/>
      <c r="F9" s="147">
        <v>0</v>
      </c>
      <c r="G9" s="148"/>
      <c r="H9" s="147">
        <v>0</v>
      </c>
      <c r="I9" s="148"/>
      <c r="J9" s="147">
        <v>0</v>
      </c>
      <c r="K9" s="148"/>
      <c r="L9" s="147">
        <v>0</v>
      </c>
      <c r="M9" s="148"/>
      <c r="N9" s="148">
        <f t="shared" ref="N9:N14" si="0">F9+H9+J9-L9</f>
        <v>0</v>
      </c>
    </row>
    <row r="10" spans="1:14" x14ac:dyDescent="0.2">
      <c r="A10" s="3"/>
      <c r="B10" s="3" t="s">
        <v>347</v>
      </c>
      <c r="C10" s="3"/>
      <c r="D10" s="3"/>
      <c r="E10" s="3"/>
      <c r="F10" s="149">
        <v>0</v>
      </c>
      <c r="G10" s="150"/>
      <c r="H10" s="149">
        <v>0</v>
      </c>
      <c r="I10" s="150"/>
      <c r="J10" s="149">
        <v>0</v>
      </c>
      <c r="K10" s="150"/>
      <c r="L10" s="149">
        <v>0</v>
      </c>
      <c r="M10" s="150"/>
      <c r="N10" s="150">
        <f t="shared" si="0"/>
        <v>0</v>
      </c>
    </row>
    <row r="11" spans="1:14" x14ac:dyDescent="0.2">
      <c r="A11" s="3"/>
      <c r="B11" s="3" t="s">
        <v>348</v>
      </c>
      <c r="C11" s="3"/>
      <c r="D11" s="3"/>
      <c r="E11" s="3"/>
      <c r="F11" s="149">
        <v>0</v>
      </c>
      <c r="G11" s="150"/>
      <c r="H11" s="149">
        <v>0</v>
      </c>
      <c r="I11" s="150"/>
      <c r="J11" s="149">
        <v>0</v>
      </c>
      <c r="K11" s="150"/>
      <c r="L11" s="149">
        <v>0</v>
      </c>
      <c r="M11" s="150"/>
      <c r="N11" s="150">
        <f t="shared" si="0"/>
        <v>0</v>
      </c>
    </row>
    <row r="12" spans="1:14" x14ac:dyDescent="0.2">
      <c r="A12" s="3"/>
      <c r="B12" s="3" t="s">
        <v>349</v>
      </c>
      <c r="C12" s="3"/>
      <c r="D12" s="3"/>
      <c r="E12" s="3"/>
      <c r="F12" s="149">
        <v>0</v>
      </c>
      <c r="G12" s="150"/>
      <c r="H12" s="149">
        <v>0</v>
      </c>
      <c r="I12" s="150"/>
      <c r="J12" s="149">
        <v>0</v>
      </c>
      <c r="K12" s="150"/>
      <c r="L12" s="149">
        <v>0</v>
      </c>
      <c r="M12" s="150"/>
      <c r="N12" s="150">
        <f t="shared" si="0"/>
        <v>0</v>
      </c>
    </row>
    <row r="13" spans="1:14" x14ac:dyDescent="0.2">
      <c r="A13" s="3"/>
      <c r="B13" s="3" t="s">
        <v>350</v>
      </c>
      <c r="C13" s="3"/>
      <c r="D13" s="3"/>
      <c r="E13" s="3"/>
      <c r="F13" s="149">
        <v>0</v>
      </c>
      <c r="G13" s="150"/>
      <c r="H13" s="149">
        <v>0</v>
      </c>
      <c r="I13" s="150"/>
      <c r="J13" s="149">
        <v>0</v>
      </c>
      <c r="K13" s="150"/>
      <c r="L13" s="149">
        <v>0</v>
      </c>
      <c r="M13" s="150"/>
      <c r="N13" s="150">
        <f t="shared" si="0"/>
        <v>0</v>
      </c>
    </row>
    <row r="14" spans="1:14" x14ac:dyDescent="0.2">
      <c r="A14" s="3"/>
      <c r="B14" s="3" t="s">
        <v>351</v>
      </c>
      <c r="C14" s="3"/>
      <c r="D14" s="3"/>
      <c r="E14" s="3"/>
      <c r="F14" s="151">
        <v>0</v>
      </c>
      <c r="G14" s="150"/>
      <c r="H14" s="151">
        <v>0</v>
      </c>
      <c r="I14" s="150"/>
      <c r="J14" s="151">
        <v>0</v>
      </c>
      <c r="K14" s="150"/>
      <c r="L14" s="151">
        <v>0</v>
      </c>
      <c r="M14" s="150"/>
      <c r="N14" s="150">
        <f t="shared" si="0"/>
        <v>0</v>
      </c>
    </row>
    <row r="15" spans="1:14" x14ac:dyDescent="0.2">
      <c r="A15" s="3"/>
      <c r="B15" s="3"/>
      <c r="C15" s="3" t="s">
        <v>352</v>
      </c>
      <c r="D15" s="3"/>
      <c r="E15" s="3"/>
      <c r="F15" s="152">
        <f>SUM(F9:F14)</f>
        <v>0</v>
      </c>
      <c r="G15" s="150"/>
      <c r="H15" s="152">
        <f>SUM(H9:H14)</f>
        <v>0</v>
      </c>
      <c r="I15" s="150"/>
      <c r="J15" s="152">
        <f>SUM(J9:J14)</f>
        <v>0</v>
      </c>
      <c r="K15" s="150"/>
      <c r="L15" s="152">
        <f>SUM(L9:L14)</f>
        <v>0</v>
      </c>
      <c r="M15" s="150"/>
      <c r="N15" s="152">
        <f>SUM(N9:N14)</f>
        <v>0</v>
      </c>
    </row>
    <row r="16" spans="1:14" x14ac:dyDescent="0.2">
      <c r="A16" s="3"/>
      <c r="B16" s="3"/>
      <c r="C16" s="3" t="s">
        <v>353</v>
      </c>
      <c r="D16" s="3"/>
      <c r="E16" s="3"/>
      <c r="F16" s="78" t="str">
        <f>IF(F15='Exh A'!G41,"OK","ERROR")</f>
        <v>OK</v>
      </c>
      <c r="G16" s="78"/>
      <c r="H16" s="150"/>
      <c r="I16" s="150"/>
      <c r="J16" s="150"/>
      <c r="K16" s="150"/>
      <c r="L16" s="150"/>
      <c r="M16" s="150"/>
      <c r="N16" s="78" t="str">
        <f>IF(N15='Exh A'!E41,"OK","ERROR")</f>
        <v>OK</v>
      </c>
    </row>
    <row r="17" spans="1:14" x14ac:dyDescent="0.2">
      <c r="A17" s="76" t="s">
        <v>354</v>
      </c>
      <c r="B17" s="3"/>
      <c r="C17" s="3"/>
      <c r="D17" s="3"/>
      <c r="E17" s="3"/>
      <c r="F17" s="150"/>
      <c r="G17" s="150"/>
      <c r="H17" s="150"/>
      <c r="I17" s="150"/>
      <c r="J17" s="150"/>
      <c r="K17" s="150"/>
      <c r="L17" s="150"/>
      <c r="M17" s="150"/>
      <c r="N17" s="150"/>
    </row>
    <row r="18" spans="1:14" x14ac:dyDescent="0.2">
      <c r="A18" s="3"/>
      <c r="B18" s="3" t="s">
        <v>355</v>
      </c>
      <c r="C18" s="3"/>
      <c r="D18" s="3"/>
      <c r="E18" s="3"/>
      <c r="F18" s="149">
        <v>0</v>
      </c>
      <c r="G18" s="150"/>
      <c r="H18" s="149">
        <v>0</v>
      </c>
      <c r="I18" s="150"/>
      <c r="J18" s="149">
        <v>0</v>
      </c>
      <c r="K18" s="150"/>
      <c r="L18" s="149">
        <v>0</v>
      </c>
      <c r="M18" s="150"/>
      <c r="N18" s="150">
        <f t="shared" ref="N18:N28" si="1">F18+H18+J18-L18</f>
        <v>0</v>
      </c>
    </row>
    <row r="19" spans="1:14" x14ac:dyDescent="0.2">
      <c r="B19" s="3" t="s">
        <v>356</v>
      </c>
      <c r="C19" s="3"/>
      <c r="D19" s="3"/>
      <c r="E19" s="3"/>
      <c r="F19" s="149">
        <v>0</v>
      </c>
      <c r="G19" s="150"/>
      <c r="H19" s="149">
        <v>0</v>
      </c>
      <c r="I19" s="150"/>
      <c r="J19" s="149">
        <v>0</v>
      </c>
      <c r="K19" s="150"/>
      <c r="L19" s="149">
        <v>0</v>
      </c>
      <c r="M19" s="150"/>
      <c r="N19" s="150">
        <f t="shared" si="1"/>
        <v>0</v>
      </c>
    </row>
    <row r="20" spans="1:14" x14ac:dyDescent="0.2">
      <c r="A20" s="3"/>
      <c r="B20" s="3" t="s">
        <v>347</v>
      </c>
      <c r="C20" s="3"/>
      <c r="D20" s="3"/>
      <c r="E20" s="3"/>
      <c r="F20" s="149">
        <v>0</v>
      </c>
      <c r="G20" s="150"/>
      <c r="H20" s="149">
        <v>0</v>
      </c>
      <c r="I20" s="150"/>
      <c r="J20" s="149">
        <v>0</v>
      </c>
      <c r="K20" s="150"/>
      <c r="L20" s="149">
        <v>0</v>
      </c>
      <c r="M20" s="150"/>
      <c r="N20" s="150">
        <f t="shared" si="1"/>
        <v>0</v>
      </c>
    </row>
    <row r="21" spans="1:14" x14ac:dyDescent="0.2">
      <c r="A21" s="3"/>
      <c r="B21" s="3" t="s">
        <v>357</v>
      </c>
      <c r="C21" s="3"/>
      <c r="D21" s="3"/>
      <c r="E21" s="3"/>
      <c r="F21" s="149">
        <v>0</v>
      </c>
      <c r="G21" s="150"/>
      <c r="H21" s="149">
        <v>0</v>
      </c>
      <c r="I21" s="150"/>
      <c r="J21" s="149">
        <v>0</v>
      </c>
      <c r="K21" s="150"/>
      <c r="L21" s="149">
        <v>0</v>
      </c>
      <c r="M21" s="150"/>
      <c r="N21" s="150">
        <f t="shared" si="1"/>
        <v>0</v>
      </c>
    </row>
    <row r="22" spans="1:14" x14ac:dyDescent="0.2">
      <c r="A22" s="3"/>
      <c r="B22" s="3" t="s">
        <v>358</v>
      </c>
      <c r="C22" s="3"/>
      <c r="D22" s="3"/>
      <c r="E22" s="3"/>
      <c r="F22" s="149">
        <v>0</v>
      </c>
      <c r="G22" s="150"/>
      <c r="H22" s="149">
        <v>0</v>
      </c>
      <c r="I22" s="150"/>
      <c r="J22" s="149">
        <v>0</v>
      </c>
      <c r="K22" s="150"/>
      <c r="L22" s="149">
        <v>0</v>
      </c>
      <c r="M22" s="150"/>
      <c r="N22" s="150">
        <f t="shared" si="1"/>
        <v>0</v>
      </c>
    </row>
    <row r="23" spans="1:14" x14ac:dyDescent="0.2">
      <c r="A23" s="3"/>
      <c r="B23" s="3" t="s">
        <v>359</v>
      </c>
      <c r="C23" s="3"/>
      <c r="D23" s="3"/>
      <c r="E23" s="3"/>
      <c r="F23" s="149">
        <v>0</v>
      </c>
      <c r="G23" s="150"/>
      <c r="H23" s="149">
        <v>0</v>
      </c>
      <c r="I23" s="150"/>
      <c r="J23" s="149">
        <v>0</v>
      </c>
      <c r="K23" s="150"/>
      <c r="L23" s="149">
        <v>0</v>
      </c>
      <c r="M23" s="150"/>
      <c r="N23" s="150">
        <f t="shared" si="1"/>
        <v>0</v>
      </c>
    </row>
    <row r="24" spans="1:14" x14ac:dyDescent="0.2">
      <c r="A24" s="3"/>
      <c r="B24" s="3" t="s">
        <v>360</v>
      </c>
      <c r="C24" s="3"/>
      <c r="D24" s="3"/>
      <c r="E24" s="3"/>
      <c r="F24" s="149">
        <v>0</v>
      </c>
      <c r="G24" s="150"/>
      <c r="H24" s="149">
        <v>0</v>
      </c>
      <c r="I24" s="150"/>
      <c r="J24" s="149">
        <v>0</v>
      </c>
      <c r="K24" s="150"/>
      <c r="L24" s="149">
        <v>0</v>
      </c>
      <c r="M24" s="150"/>
      <c r="N24" s="149">
        <f t="shared" si="1"/>
        <v>0</v>
      </c>
    </row>
    <row r="25" spans="1:14" x14ac:dyDescent="0.2">
      <c r="A25" s="76" t="s">
        <v>361</v>
      </c>
      <c r="B25" s="3"/>
      <c r="D25" s="3"/>
      <c r="E25" s="3"/>
      <c r="F25" s="149"/>
      <c r="G25" s="150"/>
      <c r="H25" s="149"/>
      <c r="I25" s="150"/>
      <c r="J25" s="149"/>
      <c r="K25" s="150"/>
      <c r="L25" s="149"/>
      <c r="M25" s="150"/>
      <c r="N25" s="149"/>
    </row>
    <row r="26" spans="1:14" x14ac:dyDescent="0.2">
      <c r="A26" s="3"/>
      <c r="B26" s="3" t="s">
        <v>362</v>
      </c>
      <c r="C26" s="3"/>
      <c r="D26" s="3"/>
      <c r="E26" s="3"/>
      <c r="F26" s="149">
        <v>0</v>
      </c>
      <c r="G26" s="150"/>
      <c r="H26" s="149">
        <v>0</v>
      </c>
      <c r="I26" s="150"/>
      <c r="J26" s="149">
        <v>0</v>
      </c>
      <c r="K26" s="150"/>
      <c r="L26" s="149">
        <v>0</v>
      </c>
      <c r="M26" s="150"/>
      <c r="N26" s="149">
        <f t="shared" si="1"/>
        <v>0</v>
      </c>
    </row>
    <row r="27" spans="1:14" x14ac:dyDescent="0.2">
      <c r="A27" s="3"/>
      <c r="B27" s="3" t="s">
        <v>363</v>
      </c>
      <c r="C27" s="3"/>
      <c r="D27" s="3"/>
      <c r="E27" s="3"/>
      <c r="F27" s="149">
        <v>0</v>
      </c>
      <c r="G27" s="150"/>
      <c r="H27" s="149">
        <v>0</v>
      </c>
      <c r="I27" s="150"/>
      <c r="J27" s="149">
        <v>0</v>
      </c>
      <c r="K27" s="150"/>
      <c r="L27" s="149">
        <v>0</v>
      </c>
      <c r="M27" s="150"/>
      <c r="N27" s="149">
        <f t="shared" si="1"/>
        <v>0</v>
      </c>
    </row>
    <row r="28" spans="1:14" x14ac:dyDescent="0.2">
      <c r="A28" s="3"/>
      <c r="B28" s="3" t="s">
        <v>364</v>
      </c>
      <c r="C28" s="3"/>
      <c r="D28" s="3"/>
      <c r="E28" s="3"/>
      <c r="F28" s="149">
        <v>0</v>
      </c>
      <c r="G28" s="150"/>
      <c r="H28" s="149">
        <v>0</v>
      </c>
      <c r="I28" s="150"/>
      <c r="J28" s="149">
        <v>0</v>
      </c>
      <c r="K28" s="150"/>
      <c r="L28" s="149">
        <v>0</v>
      </c>
      <c r="M28" s="150"/>
      <c r="N28" s="149">
        <f t="shared" si="1"/>
        <v>0</v>
      </c>
    </row>
    <row r="29" spans="1:14" x14ac:dyDescent="0.2">
      <c r="A29" s="3"/>
      <c r="B29" s="3" t="s">
        <v>365</v>
      </c>
      <c r="C29" s="3"/>
      <c r="D29" s="3"/>
      <c r="E29" s="3"/>
      <c r="F29" s="149">
        <v>0</v>
      </c>
      <c r="G29" s="150"/>
      <c r="H29" s="149">
        <v>0</v>
      </c>
      <c r="I29" s="150"/>
      <c r="J29" s="149">
        <v>0</v>
      </c>
      <c r="K29" s="150"/>
      <c r="L29" s="149">
        <v>0</v>
      </c>
      <c r="M29" s="150"/>
      <c r="N29" s="149">
        <f>F29+H29+J29-L29</f>
        <v>0</v>
      </c>
    </row>
    <row r="30" spans="1:14" x14ac:dyDescent="0.2">
      <c r="A30" s="3"/>
      <c r="B30" s="3" t="s">
        <v>366</v>
      </c>
      <c r="C30" s="3"/>
      <c r="D30" s="3"/>
      <c r="E30" s="3"/>
      <c r="F30" s="149">
        <v>0</v>
      </c>
      <c r="G30" s="150"/>
      <c r="H30" s="149">
        <v>0</v>
      </c>
      <c r="I30" s="150"/>
      <c r="J30" s="149">
        <v>0</v>
      </c>
      <c r="K30" s="150"/>
      <c r="L30" s="149">
        <v>0</v>
      </c>
      <c r="M30" s="150"/>
      <c r="N30" s="149">
        <f>F30+H30+J30-L30</f>
        <v>0</v>
      </c>
    </row>
    <row r="31" spans="1:14" x14ac:dyDescent="0.2">
      <c r="A31" s="3"/>
      <c r="B31" s="3"/>
      <c r="C31" s="3" t="s">
        <v>367</v>
      </c>
      <c r="D31" s="3"/>
      <c r="E31" s="3"/>
      <c r="F31" s="152">
        <f>SUM(F18:F30)</f>
        <v>0</v>
      </c>
      <c r="G31" s="150"/>
      <c r="H31" s="152">
        <f>SUM(H18:H30)</f>
        <v>0</v>
      </c>
      <c r="I31" s="150"/>
      <c r="J31" s="152">
        <f>SUM(J18:J30)</f>
        <v>0</v>
      </c>
      <c r="K31" s="150"/>
      <c r="L31" s="152">
        <f>SUM(L18:L30)</f>
        <v>0</v>
      </c>
      <c r="M31" s="150"/>
      <c r="N31" s="152">
        <f>SUM(N18:N30)</f>
        <v>0</v>
      </c>
    </row>
    <row r="32" spans="1:14" x14ac:dyDescent="0.2">
      <c r="A32" s="3"/>
      <c r="B32" s="121" t="s">
        <v>368</v>
      </c>
      <c r="C32" s="121"/>
      <c r="D32" s="121"/>
      <c r="E32" s="121"/>
      <c r="F32" s="150"/>
      <c r="G32" s="150"/>
      <c r="H32" s="150"/>
      <c r="I32" s="150"/>
      <c r="J32" s="150"/>
      <c r="K32" s="150"/>
      <c r="L32" s="150"/>
      <c r="M32" s="150"/>
      <c r="N32" s="150"/>
    </row>
    <row r="33" spans="1:14" x14ac:dyDescent="0.2">
      <c r="A33" s="3"/>
      <c r="B33" s="3" t="s">
        <v>355</v>
      </c>
      <c r="C33" s="3"/>
      <c r="D33" s="3"/>
      <c r="E33" s="3"/>
      <c r="F33" s="149">
        <v>0</v>
      </c>
      <c r="G33" s="150"/>
      <c r="H33" s="149">
        <v>0</v>
      </c>
      <c r="I33" s="150"/>
      <c r="J33" s="149">
        <v>0</v>
      </c>
      <c r="K33" s="150"/>
      <c r="L33" s="149">
        <v>0</v>
      </c>
      <c r="M33" s="150"/>
      <c r="N33" s="150">
        <f t="shared" ref="N33:N39" si="2">F33+H33+J33-L33</f>
        <v>0</v>
      </c>
    </row>
    <row r="34" spans="1:14" x14ac:dyDescent="0.2">
      <c r="B34" s="3" t="s">
        <v>356</v>
      </c>
      <c r="C34" s="3"/>
      <c r="D34" s="3"/>
      <c r="E34" s="3"/>
      <c r="F34" s="149">
        <v>0</v>
      </c>
      <c r="G34" s="150"/>
      <c r="H34" s="149">
        <v>0</v>
      </c>
      <c r="I34" s="150"/>
      <c r="J34" s="149">
        <v>0</v>
      </c>
      <c r="K34" s="150"/>
      <c r="L34" s="149">
        <v>0</v>
      </c>
      <c r="M34" s="150"/>
      <c r="N34" s="150">
        <f t="shared" si="2"/>
        <v>0</v>
      </c>
    </row>
    <row r="35" spans="1:14" x14ac:dyDescent="0.2">
      <c r="A35" s="3"/>
      <c r="B35" s="3" t="s">
        <v>369</v>
      </c>
      <c r="C35" s="3"/>
      <c r="D35" s="3"/>
      <c r="E35" s="3"/>
      <c r="F35" s="149">
        <v>0</v>
      </c>
      <c r="G35" s="150"/>
      <c r="H35" s="149">
        <v>0</v>
      </c>
      <c r="I35" s="150"/>
      <c r="J35" s="149">
        <v>0</v>
      </c>
      <c r="K35" s="150"/>
      <c r="L35" s="149">
        <v>0</v>
      </c>
      <c r="M35" s="150"/>
      <c r="N35" s="150">
        <f t="shared" si="2"/>
        <v>0</v>
      </c>
    </row>
    <row r="36" spans="1:14" x14ac:dyDescent="0.2">
      <c r="A36" s="3"/>
      <c r="B36" s="3" t="s">
        <v>357</v>
      </c>
      <c r="C36" s="3"/>
      <c r="D36" s="3"/>
      <c r="E36" s="3"/>
      <c r="F36" s="149">
        <v>0</v>
      </c>
      <c r="G36" s="150"/>
      <c r="H36" s="149">
        <v>0</v>
      </c>
      <c r="I36" s="150"/>
      <c r="J36" s="149">
        <v>0</v>
      </c>
      <c r="K36" s="150"/>
      <c r="L36" s="149">
        <v>0</v>
      </c>
      <c r="M36" s="150"/>
      <c r="N36" s="150">
        <f t="shared" si="2"/>
        <v>0</v>
      </c>
    </row>
    <row r="37" spans="1:14" x14ac:dyDescent="0.2">
      <c r="A37" s="3"/>
      <c r="B37" s="3" t="s">
        <v>358</v>
      </c>
      <c r="C37" s="3"/>
      <c r="D37" s="3"/>
      <c r="E37" s="3"/>
      <c r="F37" s="149">
        <v>0</v>
      </c>
      <c r="G37" s="150"/>
      <c r="H37" s="149">
        <v>0</v>
      </c>
      <c r="I37" s="150"/>
      <c r="J37" s="149">
        <v>0</v>
      </c>
      <c r="K37" s="150"/>
      <c r="L37" s="149">
        <v>0</v>
      </c>
      <c r="M37" s="150"/>
      <c r="N37" s="150">
        <f t="shared" si="2"/>
        <v>0</v>
      </c>
    </row>
    <row r="38" spans="1:14" x14ac:dyDescent="0.2">
      <c r="A38" s="3"/>
      <c r="B38" s="3" t="s">
        <v>359</v>
      </c>
      <c r="C38" s="3"/>
      <c r="D38" s="3"/>
      <c r="E38" s="3"/>
      <c r="F38" s="149">
        <v>0</v>
      </c>
      <c r="G38" s="150"/>
      <c r="H38" s="149">
        <v>0</v>
      </c>
      <c r="I38" s="150"/>
      <c r="J38" s="149">
        <v>0</v>
      </c>
      <c r="K38" s="150"/>
      <c r="L38" s="149">
        <v>0</v>
      </c>
      <c r="M38" s="150"/>
      <c r="N38" s="150">
        <f t="shared" si="2"/>
        <v>0</v>
      </c>
    </row>
    <row r="39" spans="1:14" x14ac:dyDescent="0.2">
      <c r="A39" s="3"/>
      <c r="B39" s="3" t="s">
        <v>360</v>
      </c>
      <c r="C39" s="3"/>
      <c r="D39" s="3"/>
      <c r="E39" s="3"/>
      <c r="F39" s="149">
        <v>0</v>
      </c>
      <c r="G39" s="150"/>
      <c r="H39" s="149">
        <v>0</v>
      </c>
      <c r="I39" s="150"/>
      <c r="J39" s="149">
        <v>0</v>
      </c>
      <c r="K39" s="150"/>
      <c r="L39" s="149">
        <v>0</v>
      </c>
      <c r="M39" s="150"/>
      <c r="N39" s="150">
        <f t="shared" si="2"/>
        <v>0</v>
      </c>
    </row>
    <row r="40" spans="1:14" x14ac:dyDescent="0.2">
      <c r="A40" s="3"/>
      <c r="B40" s="3" t="s">
        <v>362</v>
      </c>
      <c r="C40" s="3"/>
      <c r="D40" s="3"/>
      <c r="E40" s="3"/>
      <c r="F40" s="149">
        <v>0</v>
      </c>
      <c r="G40" s="150"/>
      <c r="H40" s="149">
        <v>0</v>
      </c>
      <c r="I40" s="150"/>
      <c r="J40" s="149">
        <v>0</v>
      </c>
      <c r="K40" s="150"/>
      <c r="L40" s="149">
        <v>0</v>
      </c>
      <c r="M40" s="150"/>
      <c r="N40" s="150">
        <f>F40+H40+J40-L40</f>
        <v>0</v>
      </c>
    </row>
    <row r="41" spans="1:14" x14ac:dyDescent="0.2">
      <c r="A41" s="3"/>
      <c r="B41" s="3" t="s">
        <v>370</v>
      </c>
      <c r="C41" s="3"/>
      <c r="D41" s="3"/>
      <c r="E41" s="3"/>
      <c r="F41" s="149">
        <v>0</v>
      </c>
      <c r="G41" s="150"/>
      <c r="H41" s="149">
        <v>0</v>
      </c>
      <c r="I41" s="150"/>
      <c r="J41" s="149">
        <v>0</v>
      </c>
      <c r="K41" s="150"/>
      <c r="L41" s="149">
        <v>0</v>
      </c>
      <c r="M41" s="150"/>
      <c r="N41" s="150">
        <f>F41+H41+J41-L41</f>
        <v>0</v>
      </c>
    </row>
    <row r="42" spans="1:14" x14ac:dyDescent="0.2">
      <c r="A42" s="3"/>
      <c r="B42" s="3" t="s">
        <v>364</v>
      </c>
      <c r="C42" s="3"/>
      <c r="D42" s="3"/>
      <c r="E42" s="3"/>
      <c r="F42" s="149">
        <v>0</v>
      </c>
      <c r="G42" s="150"/>
      <c r="H42" s="149">
        <v>0</v>
      </c>
      <c r="I42" s="150"/>
      <c r="J42" s="149">
        <v>0</v>
      </c>
      <c r="K42" s="150"/>
      <c r="L42" s="149">
        <v>0</v>
      </c>
      <c r="M42" s="150"/>
      <c r="N42" s="150">
        <f>F42+H42+J42-L42</f>
        <v>0</v>
      </c>
    </row>
    <row r="43" spans="1:14" x14ac:dyDescent="0.2">
      <c r="A43" s="3"/>
      <c r="B43" s="3" t="s">
        <v>371</v>
      </c>
      <c r="C43" s="3"/>
      <c r="D43" s="3"/>
      <c r="E43" s="3"/>
      <c r="F43" s="149">
        <v>0</v>
      </c>
      <c r="G43" s="150"/>
      <c r="H43" s="149">
        <v>0</v>
      </c>
      <c r="I43" s="150"/>
      <c r="J43" s="149">
        <v>0</v>
      </c>
      <c r="K43" s="150"/>
      <c r="L43" s="149">
        <v>0</v>
      </c>
      <c r="M43" s="150"/>
      <c r="N43" s="150">
        <f>F43+H43+J43-L43</f>
        <v>0</v>
      </c>
    </row>
    <row r="44" spans="1:14" x14ac:dyDescent="0.2">
      <c r="A44" s="3"/>
      <c r="B44" s="3" t="s">
        <v>372</v>
      </c>
      <c r="C44" s="3"/>
      <c r="D44" s="3"/>
      <c r="E44" s="3"/>
      <c r="F44" s="149">
        <v>0</v>
      </c>
      <c r="G44" s="150"/>
      <c r="H44" s="149">
        <v>0</v>
      </c>
      <c r="I44" s="150"/>
      <c r="J44" s="149">
        <v>0</v>
      </c>
      <c r="K44" s="150"/>
      <c r="L44" s="149">
        <v>0</v>
      </c>
      <c r="M44" s="150"/>
      <c r="N44" s="149">
        <f>F44+H44+J44-L44</f>
        <v>0</v>
      </c>
    </row>
    <row r="45" spans="1:14" x14ac:dyDescent="0.2">
      <c r="A45" s="3"/>
      <c r="B45" s="3"/>
      <c r="C45" s="3" t="s">
        <v>367</v>
      </c>
      <c r="D45" s="3"/>
      <c r="E45" s="3"/>
      <c r="F45" s="152">
        <f>SUM(F33:F44)</f>
        <v>0</v>
      </c>
      <c r="G45" s="150"/>
      <c r="H45" s="152">
        <f>SUM(H33:H44)</f>
        <v>0</v>
      </c>
      <c r="I45" s="150"/>
      <c r="J45" s="152">
        <f>SUM(J33:J44)</f>
        <v>0</v>
      </c>
      <c r="K45" s="150"/>
      <c r="L45" s="152">
        <f>SUM(L33:L44)</f>
        <v>0</v>
      </c>
      <c r="M45" s="150"/>
      <c r="N45" s="152">
        <f>SUM(N33:N44)</f>
        <v>0</v>
      </c>
    </row>
    <row r="46" spans="1:14" x14ac:dyDescent="0.2">
      <c r="A46" s="3"/>
      <c r="B46" s="3"/>
      <c r="C46" s="3"/>
      <c r="D46" s="3" t="s">
        <v>373</v>
      </c>
      <c r="E46" s="3"/>
      <c r="F46" s="152">
        <f>F31-F45</f>
        <v>0</v>
      </c>
      <c r="G46" s="150"/>
      <c r="H46" s="152">
        <f>H31-H45</f>
        <v>0</v>
      </c>
      <c r="I46" s="150"/>
      <c r="J46" s="152">
        <f>J31-J45</f>
        <v>0</v>
      </c>
      <c r="K46" s="150"/>
      <c r="L46" s="152">
        <f>L31-L45</f>
        <v>0</v>
      </c>
      <c r="M46" s="150"/>
      <c r="N46" s="152">
        <f>N31-N45</f>
        <v>0</v>
      </c>
    </row>
    <row r="47" spans="1:14" x14ac:dyDescent="0.2">
      <c r="A47" s="3"/>
      <c r="B47" s="3"/>
      <c r="C47" s="3"/>
      <c r="D47" s="3" t="s">
        <v>353</v>
      </c>
      <c r="E47" s="3"/>
      <c r="F47" s="78" t="str">
        <f>IF(F46='Exh A'!G42,"OK","ERROR")</f>
        <v>OK</v>
      </c>
      <c r="G47" s="78"/>
      <c r="H47" s="150"/>
      <c r="I47" s="150"/>
      <c r="J47" s="150"/>
      <c r="K47" s="150"/>
      <c r="L47" s="150"/>
      <c r="M47" s="150"/>
      <c r="N47" s="78" t="str">
        <f>IF(N46='Exh A'!E42,"OK","ERROR")</f>
        <v>OK</v>
      </c>
    </row>
    <row r="48" spans="1:14" ht="13.5" thickBot="1" x14ac:dyDescent="0.25">
      <c r="A48" s="3" t="s">
        <v>374</v>
      </c>
      <c r="B48" s="3"/>
      <c r="C48" s="3"/>
      <c r="D48" s="3"/>
      <c r="E48" s="3"/>
      <c r="F48" s="153">
        <f>F15+F46</f>
        <v>0</v>
      </c>
      <c r="G48" s="148"/>
      <c r="H48" s="153">
        <f>H15+H46</f>
        <v>0</v>
      </c>
      <c r="I48" s="148"/>
      <c r="J48" s="153">
        <f>J15+J46</f>
        <v>0</v>
      </c>
      <c r="K48" s="148"/>
      <c r="L48" s="153">
        <f>L15+L46</f>
        <v>0</v>
      </c>
      <c r="M48" s="148"/>
      <c r="N48" s="153">
        <f>N15+N46</f>
        <v>0</v>
      </c>
    </row>
    <row r="49" spans="1:14" ht="13.5" thickTop="1" x14ac:dyDescent="0.2">
      <c r="A49" s="3"/>
      <c r="B49" s="3"/>
      <c r="C49" s="3"/>
      <c r="D49" s="3"/>
      <c r="E49" s="3"/>
      <c r="F49" s="78"/>
      <c r="G49" s="78"/>
      <c r="H49" s="78"/>
      <c r="I49" s="3"/>
      <c r="J49" s="3"/>
      <c r="K49" s="3"/>
      <c r="L49" s="3"/>
      <c r="M49" s="3"/>
      <c r="N49" s="78"/>
    </row>
    <row r="50" spans="1:14" x14ac:dyDescent="0.2">
      <c r="A50" s="16" t="str">
        <f>Steps!$E$6</f>
        <v>Name of College</v>
      </c>
      <c r="N50" s="50" t="s">
        <v>375</v>
      </c>
    </row>
    <row r="51" spans="1:14" x14ac:dyDescent="0.2">
      <c r="A51" s="35" t="s">
        <v>337</v>
      </c>
      <c r="B51" s="35"/>
      <c r="C51" s="35"/>
      <c r="D51" s="35"/>
      <c r="E51" s="35"/>
    </row>
    <row r="52" spans="1:14" ht="6.95" customHeight="1" thickBo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6.9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x14ac:dyDescent="0.2">
      <c r="A54" s="76" t="s">
        <v>376</v>
      </c>
      <c r="B54" s="79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 x14ac:dyDescent="0.2">
      <c r="A55" s="76"/>
      <c r="B55" s="3" t="s">
        <v>377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ht="13.5" x14ac:dyDescent="0.25">
      <c r="A56" s="3"/>
      <c r="B56" s="3"/>
      <c r="C56" s="3" t="s">
        <v>378</v>
      </c>
      <c r="D56" s="3"/>
      <c r="E56" s="3"/>
      <c r="F56" s="149">
        <v>0</v>
      </c>
      <c r="G56" s="99" t="s">
        <v>379</v>
      </c>
      <c r="H56" s="3"/>
      <c r="I56" s="3"/>
      <c r="J56" s="3"/>
      <c r="K56" s="3"/>
      <c r="L56" s="3"/>
      <c r="M56" s="3"/>
      <c r="N56" s="3"/>
    </row>
    <row r="57" spans="1:14" ht="13.5" x14ac:dyDescent="0.25">
      <c r="A57" s="3"/>
      <c r="B57" s="3"/>
      <c r="C57" s="3" t="s">
        <v>380</v>
      </c>
      <c r="E57" s="3"/>
      <c r="F57" s="149">
        <v>0</v>
      </c>
      <c r="G57" s="99" t="s">
        <v>381</v>
      </c>
      <c r="H57" s="3" t="s">
        <v>382</v>
      </c>
      <c r="I57" s="3"/>
      <c r="J57" s="3"/>
      <c r="K57" s="3"/>
      <c r="L57" s="3"/>
      <c r="M57" s="3"/>
      <c r="N57" s="3"/>
    </row>
    <row r="58" spans="1:14" ht="13.5" x14ac:dyDescent="0.25">
      <c r="A58" s="3"/>
      <c r="B58" s="3"/>
      <c r="C58" s="3" t="s">
        <v>383</v>
      </c>
      <c r="E58" s="3"/>
      <c r="F58" s="149">
        <v>0</v>
      </c>
      <c r="G58" s="99" t="s">
        <v>384</v>
      </c>
      <c r="H58" s="3" t="s">
        <v>385</v>
      </c>
      <c r="I58" s="3"/>
      <c r="J58" s="3"/>
      <c r="K58" s="3"/>
      <c r="L58" s="3"/>
      <c r="M58" s="3"/>
      <c r="N58" s="3"/>
    </row>
    <row r="59" spans="1:14" ht="13.5" x14ac:dyDescent="0.25">
      <c r="A59" s="3"/>
      <c r="B59" s="3"/>
      <c r="C59" s="3" t="s">
        <v>386</v>
      </c>
      <c r="E59" s="3"/>
      <c r="F59" s="149">
        <v>0</v>
      </c>
      <c r="G59" s="99" t="s">
        <v>387</v>
      </c>
      <c r="H59" s="3" t="s">
        <v>388</v>
      </c>
      <c r="I59" s="3"/>
      <c r="J59" s="3"/>
      <c r="K59" s="3"/>
      <c r="L59" s="3"/>
      <c r="M59" s="3"/>
      <c r="N59" s="3"/>
    </row>
    <row r="60" spans="1:14" ht="13.5" x14ac:dyDescent="0.25">
      <c r="A60" s="3"/>
      <c r="B60" s="3"/>
      <c r="C60" s="3" t="s">
        <v>389</v>
      </c>
      <c r="E60" s="3"/>
      <c r="F60" s="149">
        <v>0</v>
      </c>
      <c r="G60" s="99" t="s">
        <v>390</v>
      </c>
      <c r="H60" s="3" t="s">
        <v>391</v>
      </c>
      <c r="I60" s="3"/>
      <c r="J60" s="3"/>
      <c r="K60" s="3"/>
      <c r="L60" s="3"/>
      <c r="M60" s="3"/>
      <c r="N60" s="3"/>
    </row>
    <row r="61" spans="1:14" ht="13.5" x14ac:dyDescent="0.25">
      <c r="A61" s="3"/>
      <c r="B61" s="3" t="s">
        <v>392</v>
      </c>
      <c r="C61" s="3"/>
      <c r="D61" s="3"/>
      <c r="E61" s="3"/>
      <c r="F61" s="149">
        <v>0</v>
      </c>
      <c r="G61" s="99" t="s">
        <v>393</v>
      </c>
      <c r="H61" s="100"/>
      <c r="I61" s="3"/>
      <c r="J61" s="3"/>
      <c r="K61" s="3"/>
      <c r="L61" s="3"/>
      <c r="M61" s="3"/>
      <c r="N61" s="3"/>
    </row>
    <row r="62" spans="1:14" ht="13.5" x14ac:dyDescent="0.25">
      <c r="A62" s="3"/>
      <c r="B62" s="3" t="s">
        <v>394</v>
      </c>
      <c r="C62" s="3"/>
      <c r="D62" s="3"/>
      <c r="E62" s="3"/>
      <c r="F62" s="149">
        <v>0</v>
      </c>
      <c r="G62" s="99" t="s">
        <v>395</v>
      </c>
      <c r="H62" s="101" t="s">
        <v>396</v>
      </c>
      <c r="I62" s="3"/>
      <c r="J62" s="3"/>
      <c r="K62" s="3"/>
      <c r="L62" s="3"/>
      <c r="M62" s="3"/>
      <c r="N62" s="3"/>
    </row>
    <row r="63" spans="1:14" ht="13.5" x14ac:dyDescent="0.25">
      <c r="A63" s="3"/>
      <c r="B63" s="3" t="s">
        <v>397</v>
      </c>
      <c r="C63" s="3"/>
      <c r="D63" s="3"/>
      <c r="E63" s="3"/>
      <c r="F63" s="149">
        <v>0</v>
      </c>
      <c r="G63" s="99" t="s">
        <v>398</v>
      </c>
      <c r="H63" s="3"/>
      <c r="I63" s="3"/>
      <c r="J63" s="3"/>
      <c r="K63" s="3"/>
      <c r="L63" s="3"/>
      <c r="M63" s="3"/>
      <c r="N63" s="3"/>
    </row>
    <row r="64" spans="1:14" ht="13.5" x14ac:dyDescent="0.25">
      <c r="A64" s="3"/>
      <c r="B64" s="3" t="s">
        <v>399</v>
      </c>
      <c r="C64" s="3"/>
      <c r="D64" s="3"/>
      <c r="E64" s="3"/>
      <c r="F64" s="149">
        <v>0</v>
      </c>
      <c r="G64" s="99" t="s">
        <v>400</v>
      </c>
      <c r="H64" s="3"/>
      <c r="I64" s="3"/>
      <c r="J64" s="3"/>
      <c r="K64" s="3"/>
      <c r="L64" s="3"/>
      <c r="M64" s="3"/>
      <c r="N64" s="3"/>
    </row>
    <row r="65" spans="1:14" ht="13.5" x14ac:dyDescent="0.25">
      <c r="A65" s="3"/>
      <c r="B65" s="3" t="s">
        <v>401</v>
      </c>
      <c r="C65" s="3"/>
      <c r="D65" s="3"/>
      <c r="E65" s="3"/>
      <c r="F65" s="151">
        <v>0</v>
      </c>
      <c r="G65" s="99"/>
      <c r="H65" s="3"/>
      <c r="I65" s="3"/>
      <c r="J65" s="3"/>
      <c r="K65" s="3"/>
      <c r="L65" s="3"/>
      <c r="M65" s="3"/>
      <c r="N65" s="3"/>
    </row>
    <row r="66" spans="1:14" ht="13.5" x14ac:dyDescent="0.25">
      <c r="A66" s="3"/>
      <c r="B66" s="3"/>
      <c r="C66" s="3" t="s">
        <v>402</v>
      </c>
      <c r="D66" s="3"/>
      <c r="E66" s="3"/>
      <c r="F66" s="152">
        <f>SUM(F56:F63)-F64+F65</f>
        <v>0</v>
      </c>
      <c r="G66" s="99"/>
      <c r="H66" s="3"/>
      <c r="I66" s="3"/>
      <c r="J66" s="3"/>
      <c r="K66" s="3"/>
      <c r="L66" s="3"/>
      <c r="M66" s="3"/>
      <c r="N66" s="3"/>
    </row>
    <row r="67" spans="1:14" ht="13.5" x14ac:dyDescent="0.25">
      <c r="A67" s="3"/>
      <c r="B67" s="3"/>
      <c r="C67" s="79" t="s">
        <v>403</v>
      </c>
      <c r="D67" s="3"/>
      <c r="E67" s="3"/>
      <c r="F67" s="78" t="str">
        <f>IF(F66=(J15+J31),"OK","ERROR")</f>
        <v>OK</v>
      </c>
      <c r="G67" s="99"/>
      <c r="H67" s="3"/>
      <c r="I67" s="3"/>
      <c r="J67" s="3"/>
      <c r="K67" s="3"/>
      <c r="L67" s="3"/>
      <c r="M67" s="3"/>
      <c r="N67" s="3"/>
    </row>
    <row r="68" spans="1:14" ht="3.95" customHeight="1" x14ac:dyDescent="0.25">
      <c r="A68" s="3"/>
      <c r="B68" s="3"/>
      <c r="C68" s="79"/>
      <c r="D68" s="3"/>
      <c r="E68" s="3"/>
      <c r="F68" s="150"/>
      <c r="G68" s="99"/>
      <c r="H68" s="3"/>
      <c r="I68" s="3"/>
      <c r="J68" s="3"/>
      <c r="K68" s="3"/>
      <c r="L68" s="3"/>
      <c r="M68" s="3"/>
      <c r="N68" s="3"/>
    </row>
    <row r="69" spans="1:14" ht="13.5" x14ac:dyDescent="0.25">
      <c r="A69" s="76" t="s">
        <v>404</v>
      </c>
      <c r="B69" s="79"/>
      <c r="C69" s="3"/>
      <c r="D69" s="3"/>
      <c r="E69" s="3"/>
      <c r="F69" s="150"/>
      <c r="G69" s="99"/>
      <c r="H69" s="3"/>
      <c r="I69" s="3"/>
      <c r="J69" s="3"/>
      <c r="K69" s="3"/>
      <c r="L69" s="3"/>
      <c r="M69" s="3"/>
      <c r="N69" s="3"/>
    </row>
    <row r="70" spans="1:14" ht="13.5" x14ac:dyDescent="0.25">
      <c r="A70" s="3"/>
      <c r="B70" s="3" t="s">
        <v>405</v>
      </c>
      <c r="C70" s="3"/>
      <c r="D70" s="3"/>
      <c r="E70" s="3"/>
      <c r="F70" s="149">
        <v>0</v>
      </c>
      <c r="G70" s="99"/>
      <c r="H70" s="3"/>
      <c r="I70" s="3"/>
      <c r="J70" s="3"/>
      <c r="K70" s="3"/>
      <c r="L70" s="3"/>
      <c r="M70" s="3"/>
      <c r="N70" s="3"/>
    </row>
    <row r="71" spans="1:14" ht="14.25" x14ac:dyDescent="0.25">
      <c r="A71" s="3"/>
      <c r="B71" s="3" t="s">
        <v>406</v>
      </c>
      <c r="C71" s="3"/>
      <c r="D71" s="3"/>
      <c r="E71" s="3"/>
      <c r="F71" s="149">
        <v>0</v>
      </c>
      <c r="G71" s="99" t="s">
        <v>407</v>
      </c>
      <c r="H71" s="3"/>
      <c r="I71" s="3"/>
      <c r="J71" s="3"/>
      <c r="K71" s="3"/>
      <c r="L71" s="3"/>
      <c r="M71" s="3"/>
      <c r="N71" s="3"/>
    </row>
    <row r="72" spans="1:14" ht="13.5" x14ac:dyDescent="0.25">
      <c r="A72" s="3"/>
      <c r="B72" s="3" t="s">
        <v>401</v>
      </c>
      <c r="C72" s="3"/>
      <c r="D72" s="3"/>
      <c r="E72" s="3"/>
      <c r="F72" s="151">
        <v>0</v>
      </c>
      <c r="G72" s="192" t="str">
        <f>IF(F65=F72," ","ERROR - reclassifications do not balance")</f>
        <v xml:space="preserve"> </v>
      </c>
      <c r="H72" s="193"/>
      <c r="I72" s="193"/>
      <c r="J72" s="193"/>
      <c r="K72" s="3"/>
      <c r="L72" s="3"/>
      <c r="M72" s="3"/>
      <c r="N72" s="3"/>
    </row>
    <row r="73" spans="1:14" ht="13.5" x14ac:dyDescent="0.25">
      <c r="A73" s="3"/>
      <c r="B73" s="3"/>
      <c r="C73" s="3" t="s">
        <v>402</v>
      </c>
      <c r="D73" s="3"/>
      <c r="E73" s="3"/>
      <c r="F73" s="152">
        <f>SUM(F70:F72)</f>
        <v>0</v>
      </c>
      <c r="G73" s="99"/>
      <c r="H73" s="3"/>
      <c r="I73" s="3"/>
      <c r="J73" s="3"/>
      <c r="K73" s="3"/>
      <c r="L73" s="3"/>
      <c r="M73" s="3"/>
      <c r="N73" s="3"/>
    </row>
    <row r="74" spans="1:14" ht="13.5" x14ac:dyDescent="0.25">
      <c r="A74" s="3"/>
      <c r="B74" s="3"/>
      <c r="C74" s="79" t="s">
        <v>408</v>
      </c>
      <c r="D74" s="3"/>
      <c r="E74" s="3"/>
      <c r="F74" s="78" t="str">
        <f>IF(F73=(L15+L31),"OK","ERROR")</f>
        <v>OK</v>
      </c>
      <c r="G74" s="99"/>
      <c r="H74" s="3"/>
      <c r="I74" s="3"/>
      <c r="J74" s="3"/>
      <c r="K74" s="3"/>
      <c r="L74" s="3"/>
      <c r="M74" s="3"/>
      <c r="N74" s="3"/>
    </row>
    <row r="75" spans="1:14" ht="3.95" customHeight="1" x14ac:dyDescent="0.25">
      <c r="A75" s="3"/>
      <c r="B75" s="3"/>
      <c r="C75" s="79"/>
      <c r="D75" s="3"/>
      <c r="E75" s="3"/>
      <c r="F75" s="150"/>
      <c r="G75" s="99"/>
      <c r="H75" s="3"/>
      <c r="I75" s="3"/>
      <c r="J75" s="3"/>
      <c r="K75" s="3"/>
      <c r="L75" s="3"/>
      <c r="M75" s="3"/>
      <c r="N75" s="3"/>
    </row>
    <row r="76" spans="1:14" ht="12.75" customHeight="1" x14ac:dyDescent="0.25">
      <c r="A76" s="76" t="s">
        <v>409</v>
      </c>
      <c r="B76" s="79"/>
      <c r="C76" s="3"/>
      <c r="D76" s="3"/>
      <c r="E76" s="3"/>
      <c r="F76" s="150"/>
      <c r="G76" s="99"/>
      <c r="H76" s="3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3" t="s">
        <v>410</v>
      </c>
      <c r="C77" s="3"/>
      <c r="D77" s="3"/>
      <c r="E77" s="3"/>
      <c r="F77" s="150">
        <f>B_11</f>
        <v>0</v>
      </c>
      <c r="G77" s="99" t="s">
        <v>259</v>
      </c>
      <c r="H77" s="3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3" t="s">
        <v>392</v>
      </c>
      <c r="C78" s="3"/>
      <c r="D78" s="3"/>
      <c r="E78" s="3"/>
      <c r="F78" s="151">
        <v>0</v>
      </c>
      <c r="G78" s="99" t="s">
        <v>411</v>
      </c>
      <c r="H78" s="3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3"/>
      <c r="C79" s="3" t="s">
        <v>402</v>
      </c>
      <c r="D79" s="3"/>
      <c r="E79" s="3"/>
      <c r="F79" s="152">
        <f>SUM(F77:F78)</f>
        <v>0</v>
      </c>
      <c r="G79" s="99"/>
      <c r="H79" s="3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3"/>
      <c r="C80" s="79" t="s">
        <v>412</v>
      </c>
      <c r="D80" s="3"/>
      <c r="E80" s="3"/>
      <c r="F80" s="78" t="str">
        <f>IF(F79=J45,"OK","ERROR")</f>
        <v>OK</v>
      </c>
      <c r="G80" s="99"/>
      <c r="H80" s="3"/>
      <c r="I80" s="3"/>
      <c r="J80" s="3"/>
      <c r="K80" s="3"/>
      <c r="L80" s="3"/>
      <c r="M80" s="3"/>
      <c r="N80" s="3"/>
    </row>
    <row r="81" spans="1:14" ht="3.95" customHeight="1" x14ac:dyDescent="0.25">
      <c r="A81" s="3"/>
      <c r="B81" s="3"/>
      <c r="C81" s="79"/>
      <c r="D81" s="3"/>
      <c r="E81" s="3"/>
      <c r="F81" s="150"/>
      <c r="G81" s="99"/>
      <c r="H81" s="3"/>
      <c r="I81" s="3"/>
      <c r="J81" s="3"/>
      <c r="K81" s="3"/>
      <c r="L81" s="3"/>
      <c r="M81" s="3"/>
      <c r="N81" s="3"/>
    </row>
    <row r="82" spans="1:14" ht="13.5" x14ac:dyDescent="0.25">
      <c r="A82" s="76" t="s">
        <v>413</v>
      </c>
      <c r="B82" s="79"/>
      <c r="C82" s="3"/>
      <c r="D82" s="3"/>
      <c r="E82" s="3"/>
      <c r="F82" s="150"/>
      <c r="G82" s="99"/>
      <c r="H82" s="3"/>
      <c r="I82" s="3"/>
      <c r="J82" s="3"/>
      <c r="K82" s="3"/>
      <c r="L82" s="3"/>
      <c r="M82" s="3"/>
      <c r="N82" s="3"/>
    </row>
    <row r="83" spans="1:14" ht="13.5" x14ac:dyDescent="0.25">
      <c r="A83" s="3"/>
      <c r="B83" s="3" t="s">
        <v>414</v>
      </c>
      <c r="C83" s="3"/>
      <c r="D83" s="3"/>
      <c r="E83" s="3"/>
      <c r="F83" s="149">
        <v>0</v>
      </c>
      <c r="G83" s="99"/>
      <c r="H83" s="3"/>
      <c r="I83" s="3"/>
      <c r="J83" s="3"/>
      <c r="K83" s="3"/>
      <c r="L83" s="3"/>
      <c r="M83" s="3"/>
      <c r="N83" s="3"/>
    </row>
    <row r="84" spans="1:14" ht="13.5" x14ac:dyDescent="0.25">
      <c r="A84" s="3"/>
      <c r="B84" s="3" t="s">
        <v>415</v>
      </c>
      <c r="C84" s="3"/>
      <c r="D84" s="3"/>
      <c r="E84" s="3"/>
      <c r="F84" s="151">
        <v>0</v>
      </c>
      <c r="G84" s="99"/>
      <c r="H84" s="3"/>
      <c r="I84" s="3"/>
      <c r="J84" s="3"/>
      <c r="K84" s="3"/>
      <c r="L84" s="3"/>
      <c r="M84" s="3"/>
      <c r="N84" s="3"/>
    </row>
    <row r="85" spans="1:14" ht="13.5" x14ac:dyDescent="0.25">
      <c r="A85" s="3"/>
      <c r="B85" s="3"/>
      <c r="C85" s="3" t="s">
        <v>402</v>
      </c>
      <c r="D85" s="3"/>
      <c r="E85" s="3"/>
      <c r="F85" s="154">
        <f>F83+F84</f>
        <v>0</v>
      </c>
      <c r="G85" s="99"/>
      <c r="H85" s="3"/>
      <c r="I85" s="3"/>
      <c r="J85" s="3"/>
      <c r="K85" s="3"/>
      <c r="L85" s="3"/>
      <c r="M85" s="3"/>
      <c r="N85" s="3"/>
    </row>
    <row r="86" spans="1:14" ht="13.5" x14ac:dyDescent="0.25">
      <c r="A86" s="3"/>
      <c r="B86" s="3"/>
      <c r="C86" s="79" t="s">
        <v>416</v>
      </c>
      <c r="D86" s="3"/>
      <c r="E86" s="3"/>
      <c r="F86" s="78" t="str">
        <f>IF(F85=L45,"OK","ERROR")</f>
        <v>OK</v>
      </c>
      <c r="G86" s="99"/>
      <c r="H86" s="3"/>
      <c r="I86" s="3"/>
      <c r="J86" s="3"/>
      <c r="K86" s="3"/>
      <c r="L86" s="3"/>
      <c r="M86" s="3"/>
      <c r="N86" s="3"/>
    </row>
    <row r="87" spans="1:14" ht="3.95" customHeight="1" x14ac:dyDescent="0.25">
      <c r="A87" s="3"/>
      <c r="B87" s="3"/>
      <c r="C87" s="3"/>
      <c r="D87" s="3"/>
      <c r="E87" s="3"/>
      <c r="F87" s="150"/>
      <c r="G87" s="99"/>
      <c r="H87" s="3"/>
      <c r="I87" s="3"/>
      <c r="J87" s="3"/>
      <c r="K87" s="3"/>
      <c r="L87" s="3"/>
      <c r="M87" s="3"/>
      <c r="N87" s="3"/>
    </row>
    <row r="88" spans="1:14" ht="13.5" x14ac:dyDescent="0.25">
      <c r="A88" s="76" t="s">
        <v>417</v>
      </c>
      <c r="B88" s="3"/>
      <c r="C88" s="3"/>
      <c r="D88" s="3"/>
      <c r="E88" s="3"/>
      <c r="F88" s="150"/>
      <c r="G88" s="99"/>
      <c r="H88" s="3"/>
      <c r="I88" s="3"/>
      <c r="J88" s="3"/>
      <c r="K88" s="3"/>
      <c r="L88" s="3"/>
      <c r="M88" s="3"/>
      <c r="N88" s="3"/>
    </row>
    <row r="89" spans="1:14" ht="13.5" x14ac:dyDescent="0.25">
      <c r="A89" s="3"/>
      <c r="B89" s="3" t="s">
        <v>418</v>
      </c>
      <c r="C89" s="3"/>
      <c r="D89" s="3"/>
      <c r="E89" s="3"/>
      <c r="F89" s="151">
        <v>0</v>
      </c>
      <c r="G89" s="99" t="s">
        <v>419</v>
      </c>
      <c r="H89" s="3"/>
      <c r="I89" s="3"/>
      <c r="J89" s="3"/>
      <c r="K89" s="3"/>
      <c r="L89" s="3"/>
      <c r="M89" s="3"/>
      <c r="N89" s="3"/>
    </row>
    <row r="90" spans="1:14" ht="13.5" x14ac:dyDescent="0.25">
      <c r="A90" s="3"/>
      <c r="B90" s="3"/>
      <c r="C90" s="3"/>
      <c r="D90" s="3"/>
      <c r="E90" s="3"/>
      <c r="F90" s="78" t="str">
        <f>IF(F89=F97,"OK","ERROR")</f>
        <v>OK</v>
      </c>
      <c r="G90" s="99"/>
      <c r="H90" s="79" t="s">
        <v>420</v>
      </c>
      <c r="I90" s="3"/>
      <c r="J90" s="3"/>
      <c r="K90" s="3"/>
      <c r="L90" s="3"/>
      <c r="M90" s="3"/>
      <c r="N90" s="3"/>
    </row>
    <row r="91" spans="1:14" ht="12.6" customHeight="1" x14ac:dyDescent="0.25">
      <c r="A91" s="3"/>
      <c r="B91" s="80" t="s">
        <v>421</v>
      </c>
      <c r="C91" s="155"/>
      <c r="D91" s="155"/>
      <c r="E91" s="155"/>
      <c r="F91" s="156"/>
      <c r="G91" s="99"/>
      <c r="H91" s="3"/>
      <c r="I91" s="3"/>
      <c r="J91" s="3"/>
      <c r="K91" s="3"/>
      <c r="L91" s="3"/>
      <c r="M91" s="3"/>
      <c r="N91" s="3"/>
    </row>
    <row r="92" spans="1:14" ht="12.6" customHeight="1" x14ac:dyDescent="0.25">
      <c r="A92" s="3"/>
      <c r="B92" s="81" t="s">
        <v>405</v>
      </c>
      <c r="C92" s="155"/>
      <c r="D92" s="155"/>
      <c r="E92" s="155"/>
      <c r="F92" s="156">
        <f>F70</f>
        <v>0</v>
      </c>
      <c r="G92" s="99"/>
      <c r="H92" s="3"/>
      <c r="I92" s="3"/>
      <c r="J92" s="3"/>
      <c r="K92" s="3"/>
      <c r="L92" s="3"/>
      <c r="M92" s="3"/>
      <c r="N92" s="3"/>
    </row>
    <row r="93" spans="1:14" ht="12.6" customHeight="1" x14ac:dyDescent="0.25">
      <c r="A93" s="3"/>
      <c r="B93" s="81" t="s">
        <v>422</v>
      </c>
      <c r="C93" s="155"/>
      <c r="D93" s="155"/>
      <c r="E93" s="155"/>
      <c r="F93" s="156">
        <f>-F83</f>
        <v>0</v>
      </c>
      <c r="G93" s="99"/>
      <c r="H93" s="3"/>
      <c r="I93" s="3"/>
      <c r="J93" s="3"/>
      <c r="K93" s="3"/>
      <c r="L93" s="3"/>
      <c r="M93" s="3"/>
      <c r="N93" s="3"/>
    </row>
    <row r="94" spans="1:14" ht="12.6" customHeight="1" x14ac:dyDescent="0.25">
      <c r="A94" s="3"/>
      <c r="B94" s="81" t="s">
        <v>423</v>
      </c>
      <c r="C94" s="155"/>
      <c r="D94" s="155"/>
      <c r="E94" s="155"/>
      <c r="F94" s="156">
        <f>-E_59</f>
        <v>0</v>
      </c>
      <c r="G94" s="99" t="s">
        <v>424</v>
      </c>
      <c r="H94" s="3"/>
      <c r="I94" s="3"/>
      <c r="J94" s="3"/>
      <c r="K94" s="3"/>
      <c r="L94" s="3"/>
      <c r="M94" s="3"/>
      <c r="N94" s="3"/>
    </row>
    <row r="95" spans="1:14" ht="12.6" customHeight="1" x14ac:dyDescent="0.25">
      <c r="A95" s="3"/>
      <c r="B95" s="81" t="s">
        <v>425</v>
      </c>
      <c r="C95" s="155"/>
      <c r="D95" s="155"/>
      <c r="E95" s="155"/>
      <c r="F95" s="156">
        <f>E_46</f>
        <v>0</v>
      </c>
      <c r="G95" s="99" t="s">
        <v>426</v>
      </c>
      <c r="H95" s="3"/>
      <c r="I95" s="3"/>
      <c r="J95" s="3"/>
      <c r="K95" s="3"/>
      <c r="L95" s="3"/>
      <c r="M95" s="3"/>
      <c r="N95" s="3"/>
    </row>
    <row r="96" spans="1:14" ht="12.6" customHeight="1" x14ac:dyDescent="0.25">
      <c r="A96" s="3"/>
      <c r="B96" s="81" t="s">
        <v>427</v>
      </c>
      <c r="C96" s="155"/>
      <c r="D96" s="155"/>
      <c r="E96" s="155"/>
      <c r="F96" s="156">
        <f>E_53</f>
        <v>0</v>
      </c>
      <c r="G96" s="99" t="s">
        <v>428</v>
      </c>
      <c r="H96" s="3"/>
      <c r="I96" s="3"/>
      <c r="J96" s="3"/>
      <c r="K96" s="3"/>
      <c r="L96" s="3"/>
      <c r="M96" s="3"/>
      <c r="N96" s="3"/>
    </row>
    <row r="97" spans="1:14" ht="12.6" customHeight="1" thickBot="1" x14ac:dyDescent="0.25">
      <c r="A97" s="3"/>
      <c r="B97" s="81"/>
      <c r="C97" s="82" t="s">
        <v>429</v>
      </c>
      <c r="D97" s="155"/>
      <c r="E97" s="155"/>
      <c r="F97" s="157">
        <f>ROUND(F92+F93+F94+F95+F96,2)</f>
        <v>0</v>
      </c>
      <c r="G97" s="150"/>
      <c r="H97" s="150"/>
      <c r="I97" s="3"/>
      <c r="J97" s="3"/>
      <c r="K97" s="3"/>
      <c r="L97" s="3"/>
      <c r="M97" s="3"/>
      <c r="N97" s="3"/>
    </row>
    <row r="98" spans="1:14" ht="3.95" customHeight="1" thickTop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x14ac:dyDescent="0.2">
      <c r="A99" s="191" t="s">
        <v>156</v>
      </c>
      <c r="B99" s="19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x14ac:dyDescent="0.2">
      <c r="A100" s="190" t="s">
        <v>157</v>
      </c>
      <c r="B100" s="190"/>
      <c r="C100" s="3" t="s">
        <v>430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 x14ac:dyDescent="0.2">
      <c r="A101" s="3"/>
      <c r="B101" s="3"/>
      <c r="C101" s="3" t="s">
        <v>431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x14ac:dyDescent="0.2">
      <c r="A102" s="3"/>
      <c r="B102" s="3"/>
      <c r="C102" s="3" t="s">
        <v>432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3.9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x14ac:dyDescent="0.2">
      <c r="A104" s="190" t="s">
        <v>165</v>
      </c>
      <c r="B104" s="190"/>
      <c r="C104" s="3" t="s">
        <v>433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x14ac:dyDescent="0.2">
      <c r="A105" s="3"/>
      <c r="B105" s="3"/>
      <c r="C105" s="3" t="s">
        <v>434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</sheetData>
  <sheetProtection algorithmName="SHA-512" hashValue="OsrkskivhaVvROe5Wubx+ELZbUovLYQSN/EpNAmJR8KCyPG/B62Ssb3M7lB7cxY8Rjhj+tqVxazonkRWOiYIkg==" saltValue="u/sSEmws4WynfymT5T7Gjw==" spinCount="100000" sheet="1" autoFilter="0"/>
  <mergeCells count="4">
    <mergeCell ref="A100:B100"/>
    <mergeCell ref="A99:B99"/>
    <mergeCell ref="A104:B104"/>
    <mergeCell ref="G72:J72"/>
  </mergeCells>
  <phoneticPr fontId="0" type="noConversion"/>
  <conditionalFormatting sqref="G72">
    <cfRule type="cellIs" dxfId="16" priority="2" stopIfTrue="1" operator="equal">
      <formula>"ERROR - Reclassifications do not balance"</formula>
    </cfRule>
  </conditionalFormatting>
  <conditionalFormatting sqref="F74 F86 F90 N47 F49:H49 N49 F47:G47 N16 F67 F16:G16">
    <cfRule type="cellIs" dxfId="15" priority="3" stopIfTrue="1" operator="equal">
      <formula>"ERROR"</formula>
    </cfRule>
  </conditionalFormatting>
  <conditionalFormatting sqref="F80">
    <cfRule type="cellIs" dxfId="14" priority="1" stopIfTrue="1" operator="equal">
      <formula>"ERROR"</formula>
    </cfRule>
  </conditionalFormatting>
  <pageMargins left="0.5" right="0.5" top="0.55000000000000004" bottom="0.5" header="0.5" footer="0.25"/>
  <pageSetup scale="85" orientation="landscape" r:id="rId1"/>
  <headerFooter alignWithMargins="0">
    <oddFooter>Page &amp;P of &amp;N</oddFooter>
  </headerFooter>
  <rowBreaks count="2" manualBreakCount="2">
    <brk id="49" max="16383" man="1"/>
    <brk id="98" max="16383" man="1"/>
  </rowBreaks>
  <ignoredErrors>
    <ignoredError sqref="A100 A104" numberStoredAsText="1"/>
    <ignoredError sqref="N24:N28 N29:N30 N4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Q53"/>
  <sheetViews>
    <sheetView topLeftCell="A23" workbookViewId="0">
      <selection activeCell="S27" sqref="S27"/>
    </sheetView>
  </sheetViews>
  <sheetFormatPr defaultRowHeight="12.75" x14ac:dyDescent="0.2"/>
  <cols>
    <col min="1" max="2" width="2.28515625" customWidth="1"/>
    <col min="3" max="3" width="27.42578125" customWidth="1"/>
    <col min="4" max="4" width="15.28515625" customWidth="1"/>
    <col min="5" max="5" width="0.85546875" customWidth="1"/>
    <col min="6" max="6" width="14.5703125" bestFit="1" customWidth="1"/>
    <col min="7" max="7" width="0.85546875" customWidth="1"/>
    <col min="8" max="8" width="13.28515625" customWidth="1"/>
    <col min="9" max="9" width="5.42578125" customWidth="1"/>
    <col min="10" max="10" width="14.5703125" bestFit="1" customWidth="1"/>
    <col min="11" max="11" width="4" customWidth="1"/>
    <col min="12" max="12" width="15.28515625" customWidth="1"/>
    <col min="13" max="13" width="0.85546875" customWidth="1"/>
    <col min="14" max="14" width="13.28515625" customWidth="1"/>
    <col min="15" max="15" width="0.85546875" customWidth="1"/>
    <col min="16" max="16" width="14.140625" bestFit="1" customWidth="1"/>
    <col min="17" max="17" width="5.42578125" customWidth="1"/>
  </cols>
  <sheetData>
    <row r="1" spans="1:17" x14ac:dyDescent="0.2">
      <c r="A1" s="16" t="str">
        <f>Steps!$E$6</f>
        <v>Name of College</v>
      </c>
      <c r="P1" s="50" t="s">
        <v>435</v>
      </c>
    </row>
    <row r="2" spans="1:17" x14ac:dyDescent="0.2">
      <c r="A2" s="16" t="s">
        <v>436</v>
      </c>
    </row>
    <row r="3" spans="1:17" x14ac:dyDescent="0.2">
      <c r="A3" s="16" t="s">
        <v>1013</v>
      </c>
    </row>
    <row r="4" spans="1:17" ht="13.5" thickBot="1" x14ac:dyDescent="0.25">
      <c r="A4" s="3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x14ac:dyDescent="0.2">
      <c r="A5" s="16"/>
    </row>
    <row r="6" spans="1:17" x14ac:dyDescent="0.2">
      <c r="A6" s="3"/>
      <c r="B6" s="3"/>
      <c r="C6" s="3"/>
      <c r="D6" s="73" t="s">
        <v>338</v>
      </c>
      <c r="E6" s="73"/>
      <c r="F6" s="73" t="s">
        <v>339</v>
      </c>
      <c r="G6" s="73"/>
      <c r="H6" s="73"/>
      <c r="I6" s="73"/>
      <c r="J6" s="73"/>
      <c r="K6" s="73"/>
      <c r="L6" s="73" t="s">
        <v>340</v>
      </c>
      <c r="M6" s="3"/>
      <c r="N6" s="73" t="s">
        <v>437</v>
      </c>
      <c r="O6" s="3"/>
      <c r="P6" s="3"/>
      <c r="Q6" s="3"/>
    </row>
    <row r="7" spans="1:17" x14ac:dyDescent="0.2">
      <c r="A7" s="3"/>
      <c r="B7" s="3"/>
      <c r="C7" s="3"/>
      <c r="D7" s="74" t="s">
        <v>341</v>
      </c>
      <c r="E7" s="73"/>
      <c r="F7" s="74" t="s">
        <v>342</v>
      </c>
      <c r="G7" s="75"/>
      <c r="H7" s="74" t="s">
        <v>438</v>
      </c>
      <c r="I7" s="75"/>
      <c r="J7" s="74" t="s">
        <v>439</v>
      </c>
      <c r="K7" s="75"/>
      <c r="L7" s="74" t="s">
        <v>341</v>
      </c>
      <c r="M7" s="3"/>
      <c r="N7" s="74" t="s">
        <v>440</v>
      </c>
      <c r="O7" s="3"/>
      <c r="P7" s="83" t="s">
        <v>77</v>
      </c>
      <c r="Q7" s="3"/>
    </row>
    <row r="8" spans="1:17" ht="13.5" hidden="1" x14ac:dyDescent="0.25">
      <c r="A8" s="3" t="s">
        <v>441</v>
      </c>
      <c r="B8" s="3"/>
      <c r="C8" s="3"/>
      <c r="D8" s="147">
        <v>0</v>
      </c>
      <c r="E8" s="148"/>
      <c r="F8" s="147">
        <v>0</v>
      </c>
      <c r="G8" s="148"/>
      <c r="H8" s="158">
        <v>0</v>
      </c>
      <c r="I8" s="159"/>
      <c r="J8" s="158">
        <v>0</v>
      </c>
      <c r="K8" s="93" t="s">
        <v>442</v>
      </c>
      <c r="L8" s="148">
        <f t="shared" ref="L8:L17" si="0">D8+F8+H8-J8</f>
        <v>0</v>
      </c>
      <c r="M8" s="148"/>
      <c r="N8" s="147">
        <v>0</v>
      </c>
      <c r="O8" s="3"/>
      <c r="P8" s="160">
        <f t="shared" ref="P8:P17" si="1">H8-J8</f>
        <v>0</v>
      </c>
      <c r="Q8" s="70"/>
    </row>
    <row r="9" spans="1:17" ht="15.75" customHeight="1" x14ac:dyDescent="0.25">
      <c r="A9" s="3" t="s">
        <v>443</v>
      </c>
      <c r="B9" s="3"/>
      <c r="C9" s="3"/>
      <c r="D9" s="149">
        <v>0</v>
      </c>
      <c r="E9" s="148"/>
      <c r="F9" s="149">
        <v>0</v>
      </c>
      <c r="G9" s="148"/>
      <c r="H9" s="149">
        <v>0</v>
      </c>
      <c r="I9" s="159"/>
      <c r="J9" s="149">
        <v>0</v>
      </c>
      <c r="K9" s="93" t="s">
        <v>444</v>
      </c>
      <c r="L9" s="150">
        <f t="shared" si="0"/>
        <v>0</v>
      </c>
      <c r="M9" s="148"/>
      <c r="N9" s="149">
        <v>0</v>
      </c>
      <c r="O9" s="3"/>
      <c r="P9" s="160">
        <f t="shared" si="1"/>
        <v>0</v>
      </c>
      <c r="Q9" s="70"/>
    </row>
    <row r="10" spans="1:17" ht="15.75" hidden="1" customHeight="1" x14ac:dyDescent="0.25">
      <c r="A10" s="3" t="s">
        <v>445</v>
      </c>
      <c r="B10" s="3"/>
      <c r="C10" s="3"/>
      <c r="D10" s="149">
        <v>0</v>
      </c>
      <c r="E10" s="148"/>
      <c r="F10" s="149">
        <v>0</v>
      </c>
      <c r="G10" s="148"/>
      <c r="H10" s="149">
        <v>0</v>
      </c>
      <c r="I10" s="159"/>
      <c r="J10" s="149">
        <v>0</v>
      </c>
      <c r="K10" s="93" t="s">
        <v>446</v>
      </c>
      <c r="L10" s="150">
        <f t="shared" si="0"/>
        <v>0</v>
      </c>
      <c r="M10" s="148"/>
      <c r="N10" s="149">
        <v>0</v>
      </c>
      <c r="O10" s="3"/>
      <c r="P10" s="160">
        <f t="shared" si="1"/>
        <v>0</v>
      </c>
      <c r="Q10" s="70"/>
    </row>
    <row r="11" spans="1:17" ht="15.75" customHeight="1" x14ac:dyDescent="0.25">
      <c r="A11" s="3" t="s">
        <v>447</v>
      </c>
      <c r="B11" s="3"/>
      <c r="C11" s="3"/>
      <c r="D11" s="149">
        <v>0</v>
      </c>
      <c r="E11" s="150"/>
      <c r="F11" s="149">
        <v>0</v>
      </c>
      <c r="G11" s="150"/>
      <c r="H11" s="149">
        <v>0</v>
      </c>
      <c r="I11" s="94" t="s">
        <v>448</v>
      </c>
      <c r="J11" s="149"/>
      <c r="K11" s="94" t="s">
        <v>449</v>
      </c>
      <c r="L11" s="150">
        <f t="shared" si="0"/>
        <v>0</v>
      </c>
      <c r="M11" s="150"/>
      <c r="N11" s="149">
        <v>0</v>
      </c>
      <c r="O11" s="3"/>
      <c r="P11" s="160">
        <f t="shared" si="1"/>
        <v>0</v>
      </c>
      <c r="Q11" s="70"/>
    </row>
    <row r="12" spans="1:17" ht="15.75" customHeight="1" x14ac:dyDescent="0.25">
      <c r="A12" s="3" t="s">
        <v>450</v>
      </c>
      <c r="B12" s="3"/>
      <c r="C12" s="3"/>
      <c r="D12" s="149">
        <v>0</v>
      </c>
      <c r="E12" s="150"/>
      <c r="F12" s="149">
        <v>0</v>
      </c>
      <c r="G12" s="150"/>
      <c r="H12" s="149">
        <v>0</v>
      </c>
      <c r="I12" s="94" t="s">
        <v>451</v>
      </c>
      <c r="J12" s="149"/>
      <c r="K12" s="94" t="s">
        <v>452</v>
      </c>
      <c r="L12" s="150">
        <f t="shared" si="0"/>
        <v>0</v>
      </c>
      <c r="M12" s="150"/>
      <c r="N12" s="149">
        <v>0</v>
      </c>
      <c r="O12" s="3"/>
      <c r="P12" s="160">
        <f t="shared" si="1"/>
        <v>0</v>
      </c>
      <c r="Q12" s="70"/>
    </row>
    <row r="13" spans="1:17" x14ac:dyDescent="0.2">
      <c r="A13" s="3" t="s">
        <v>453</v>
      </c>
      <c r="B13" s="3"/>
      <c r="C13" s="3"/>
      <c r="D13" s="149">
        <v>0</v>
      </c>
      <c r="E13" s="150"/>
      <c r="F13" s="149">
        <v>0</v>
      </c>
      <c r="G13" s="150"/>
      <c r="H13" s="149">
        <v>0</v>
      </c>
      <c r="I13" s="159"/>
      <c r="J13" s="149">
        <v>0</v>
      </c>
      <c r="K13" s="159"/>
      <c r="L13" s="150">
        <f t="shared" si="0"/>
        <v>0</v>
      </c>
      <c r="M13" s="150"/>
      <c r="N13" s="149">
        <v>0</v>
      </c>
      <c r="O13" s="3"/>
      <c r="P13" s="160">
        <f t="shared" si="1"/>
        <v>0</v>
      </c>
      <c r="Q13" s="96" t="s">
        <v>454</v>
      </c>
    </row>
    <row r="14" spans="1:17" x14ac:dyDescent="0.2">
      <c r="A14" s="3" t="s">
        <v>455</v>
      </c>
      <c r="B14" s="3"/>
      <c r="C14" s="3"/>
      <c r="D14" s="149">
        <v>0</v>
      </c>
      <c r="E14" s="150"/>
      <c r="F14" s="149">
        <v>0</v>
      </c>
      <c r="G14" s="150"/>
      <c r="H14" s="149">
        <v>0</v>
      </c>
      <c r="I14" s="159"/>
      <c r="J14" s="149">
        <v>0</v>
      </c>
      <c r="K14" s="159"/>
      <c r="L14" s="149">
        <f t="shared" si="0"/>
        <v>0</v>
      </c>
      <c r="M14" s="150"/>
      <c r="N14" s="149">
        <v>0</v>
      </c>
      <c r="O14" s="3"/>
      <c r="P14" s="160">
        <f t="shared" si="1"/>
        <v>0</v>
      </c>
      <c r="Q14" s="96"/>
    </row>
    <row r="15" spans="1:17" x14ac:dyDescent="0.2">
      <c r="A15" s="3" t="s">
        <v>456</v>
      </c>
      <c r="B15" s="3"/>
      <c r="C15" s="3"/>
      <c r="D15" s="149">
        <v>0</v>
      </c>
      <c r="E15" s="150"/>
      <c r="F15" s="149">
        <v>0</v>
      </c>
      <c r="G15" s="150"/>
      <c r="H15" s="149">
        <v>0</v>
      </c>
      <c r="I15" s="159"/>
      <c r="J15" s="149">
        <v>0</v>
      </c>
      <c r="K15" s="159"/>
      <c r="L15" s="149">
        <f t="shared" si="0"/>
        <v>0</v>
      </c>
      <c r="M15" s="150"/>
      <c r="N15" s="149">
        <v>0</v>
      </c>
      <c r="O15" s="3"/>
      <c r="P15" s="160">
        <f t="shared" si="1"/>
        <v>0</v>
      </c>
      <c r="Q15" s="96"/>
    </row>
    <row r="16" spans="1:17" x14ac:dyDescent="0.2">
      <c r="A16" s="3" t="s">
        <v>457</v>
      </c>
      <c r="B16" s="3"/>
      <c r="C16" s="3"/>
      <c r="D16" s="149">
        <v>0</v>
      </c>
      <c r="E16" s="150"/>
      <c r="F16" s="149">
        <v>0</v>
      </c>
      <c r="G16" s="150"/>
      <c r="H16" s="149">
        <v>0</v>
      </c>
      <c r="I16" s="159"/>
      <c r="J16" s="149">
        <v>0</v>
      </c>
      <c r="K16" s="159"/>
      <c r="L16" s="149">
        <f t="shared" si="0"/>
        <v>0</v>
      </c>
      <c r="M16" s="150"/>
      <c r="N16" s="149">
        <v>0</v>
      </c>
      <c r="O16" s="3"/>
      <c r="P16" s="160">
        <f t="shared" si="1"/>
        <v>0</v>
      </c>
      <c r="Q16" s="96" t="s">
        <v>458</v>
      </c>
    </row>
    <row r="17" spans="1:17" x14ac:dyDescent="0.2">
      <c r="A17" s="3" t="s">
        <v>459</v>
      </c>
      <c r="B17" s="3"/>
      <c r="C17" s="3"/>
      <c r="D17" s="151">
        <v>0</v>
      </c>
      <c r="E17" s="150"/>
      <c r="F17" s="151">
        <v>0</v>
      </c>
      <c r="G17" s="150"/>
      <c r="H17" s="151">
        <v>0</v>
      </c>
      <c r="I17" s="161"/>
      <c r="J17" s="151">
        <v>0</v>
      </c>
      <c r="K17" s="161"/>
      <c r="L17" s="150">
        <f t="shared" si="0"/>
        <v>0</v>
      </c>
      <c r="M17" s="150"/>
      <c r="N17" s="151">
        <v>0</v>
      </c>
      <c r="O17" s="3"/>
      <c r="P17" s="160">
        <f t="shared" si="1"/>
        <v>0</v>
      </c>
      <c r="Q17" s="96" t="s">
        <v>460</v>
      </c>
    </row>
    <row r="18" spans="1:17" ht="13.5" thickBot="1" x14ac:dyDescent="0.25">
      <c r="A18" s="162" t="s">
        <v>461</v>
      </c>
      <c r="C18" s="3"/>
      <c r="D18" s="163">
        <f>SUM(D8:D17)</f>
        <v>0</v>
      </c>
      <c r="E18" s="148"/>
      <c r="F18" s="163">
        <f>SUM(F8:F17)</f>
        <v>0</v>
      </c>
      <c r="G18" s="148"/>
      <c r="H18" s="163">
        <f>SUM(H8:H17)</f>
        <v>0</v>
      </c>
      <c r="I18" s="148"/>
      <c r="J18" s="163">
        <f>SUM(J8:J17)</f>
        <v>0</v>
      </c>
      <c r="K18" s="148"/>
      <c r="L18" s="163">
        <f>SUM(L8:L17)</f>
        <v>0</v>
      </c>
      <c r="M18" s="148"/>
      <c r="N18" s="163">
        <f>SUM(N8:N17)</f>
        <v>0</v>
      </c>
      <c r="O18" s="3"/>
      <c r="P18" s="3"/>
      <c r="Q18" s="3"/>
    </row>
    <row r="19" spans="1:17" ht="13.5" thickTop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">
      <c r="A21" s="121" t="s">
        <v>462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3.5" x14ac:dyDescent="0.25">
      <c r="B22" s="70" t="s">
        <v>463</v>
      </c>
      <c r="C22" s="3"/>
      <c r="D22" s="3"/>
      <c r="E22" s="3"/>
      <c r="F22" s="149">
        <v>0</v>
      </c>
      <c r="G22" s="164" t="s">
        <v>464</v>
      </c>
      <c r="H22" s="95"/>
      <c r="I22" s="3"/>
      <c r="J22" s="3"/>
      <c r="K22" s="3"/>
      <c r="L22" s="3"/>
      <c r="M22" s="3"/>
      <c r="N22" s="3"/>
      <c r="O22" s="3"/>
      <c r="P22" s="3"/>
      <c r="Q22" s="3"/>
    </row>
    <row r="23" spans="1:17" ht="13.5" x14ac:dyDescent="0.25">
      <c r="B23" s="70" t="s">
        <v>465</v>
      </c>
      <c r="C23" s="3"/>
      <c r="D23" s="3"/>
      <c r="E23" s="3"/>
      <c r="F23" s="149">
        <v>0</v>
      </c>
      <c r="G23" s="164" t="s">
        <v>466</v>
      </c>
      <c r="H23" s="95"/>
      <c r="I23" s="70" t="s">
        <v>467</v>
      </c>
      <c r="J23" s="3"/>
      <c r="K23" s="3"/>
      <c r="L23" s="3"/>
      <c r="M23" s="3"/>
      <c r="N23" s="3"/>
      <c r="O23" s="3"/>
      <c r="P23" s="3"/>
      <c r="Q23" s="3"/>
    </row>
    <row r="24" spans="1:17" x14ac:dyDescent="0.2">
      <c r="A24" s="3"/>
      <c r="C24" s="70" t="s">
        <v>402</v>
      </c>
      <c r="D24" s="3"/>
      <c r="E24" s="3"/>
      <c r="F24" s="152">
        <f>SUM(F22:F23)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A25" s="3"/>
      <c r="B25" s="79" t="s">
        <v>468</v>
      </c>
      <c r="C25" s="3"/>
      <c r="D25" s="3"/>
      <c r="E25" s="3"/>
      <c r="F25" s="78" t="str">
        <f>IF(F24=(H9),"OK","ERROR")</f>
        <v>OK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3.5" thickBot="1" x14ac:dyDescent="0.25">
      <c r="A26" s="3"/>
      <c r="B26" s="79"/>
      <c r="C26" s="3"/>
      <c r="D26" s="3"/>
      <c r="E26" s="3"/>
      <c r="F26" s="7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">
      <c r="A27" s="3"/>
      <c r="B27" s="79"/>
      <c r="C27" s="166" t="s">
        <v>1016</v>
      </c>
      <c r="D27" s="167"/>
      <c r="E27" s="167"/>
      <c r="F27" s="168"/>
      <c r="G27" s="167"/>
      <c r="H27" s="169"/>
      <c r="I27" s="3"/>
      <c r="J27" s="166" t="s">
        <v>1017</v>
      </c>
      <c r="K27" s="167"/>
      <c r="L27" s="167"/>
      <c r="M27" s="167"/>
      <c r="N27" s="167"/>
      <c r="O27" s="167"/>
      <c r="P27" s="169"/>
      <c r="Q27" s="3"/>
    </row>
    <row r="28" spans="1:17" x14ac:dyDescent="0.2">
      <c r="A28" s="3"/>
      <c r="B28" s="79"/>
      <c r="C28" s="170" t="s">
        <v>1018</v>
      </c>
      <c r="D28" s="171"/>
      <c r="E28" s="171"/>
      <c r="F28" s="172"/>
      <c r="G28" s="171"/>
      <c r="H28" s="173">
        <f>J11-H29</f>
        <v>0</v>
      </c>
      <c r="I28" s="3" t="s">
        <v>1026</v>
      </c>
      <c r="J28" s="170" t="s">
        <v>1020</v>
      </c>
      <c r="K28" s="171"/>
      <c r="L28" s="171"/>
      <c r="M28" s="171"/>
      <c r="N28" s="171"/>
      <c r="O28" s="171"/>
      <c r="P28" s="173">
        <f>J12-P29</f>
        <v>0</v>
      </c>
      <c r="Q28" s="3" t="s">
        <v>1028</v>
      </c>
    </row>
    <row r="29" spans="1:17" x14ac:dyDescent="0.2">
      <c r="A29" s="3"/>
      <c r="B29" s="79"/>
      <c r="C29" s="170" t="s">
        <v>1022</v>
      </c>
      <c r="D29" s="171"/>
      <c r="E29" s="171"/>
      <c r="F29" s="172"/>
      <c r="G29" s="171"/>
      <c r="H29" s="174"/>
      <c r="I29" s="3" t="s">
        <v>1027</v>
      </c>
      <c r="J29" s="170" t="s">
        <v>1023</v>
      </c>
      <c r="K29" s="171"/>
      <c r="L29" s="171"/>
      <c r="M29" s="171"/>
      <c r="N29" s="171"/>
      <c r="O29" s="171"/>
      <c r="P29" s="174"/>
      <c r="Q29" s="3" t="s">
        <v>1029</v>
      </c>
    </row>
    <row r="30" spans="1:17" ht="13.5" thickBot="1" x14ac:dyDescent="0.25">
      <c r="A30" s="3"/>
      <c r="B30" s="79"/>
      <c r="C30" s="170" t="s">
        <v>1024</v>
      </c>
      <c r="D30" s="171"/>
      <c r="E30" s="171"/>
      <c r="F30" s="172"/>
      <c r="G30" s="171"/>
      <c r="H30" s="175">
        <f>H28+H29</f>
        <v>0</v>
      </c>
      <c r="I30" s="3"/>
      <c r="J30" s="170" t="s">
        <v>1025</v>
      </c>
      <c r="K30" s="171"/>
      <c r="L30" s="171"/>
      <c r="M30" s="171"/>
      <c r="N30" s="171"/>
      <c r="O30" s="171"/>
      <c r="P30" s="175">
        <f>P28+P29</f>
        <v>0</v>
      </c>
      <c r="Q30" s="3"/>
    </row>
    <row r="31" spans="1:17" ht="14.25" thickTop="1" thickBot="1" x14ac:dyDescent="0.25">
      <c r="A31" s="3"/>
      <c r="B31" s="79"/>
      <c r="C31" s="176"/>
      <c r="D31" s="177"/>
      <c r="E31" s="177"/>
      <c r="F31" s="177"/>
      <c r="G31" s="177"/>
      <c r="H31" s="178"/>
      <c r="I31" s="3"/>
      <c r="J31" s="176"/>
      <c r="K31" s="177"/>
      <c r="L31" s="177"/>
      <c r="M31" s="177"/>
      <c r="N31" s="177"/>
      <c r="O31" s="177"/>
      <c r="P31" s="178"/>
      <c r="Q31" s="3"/>
    </row>
    <row r="32" spans="1:17" x14ac:dyDescent="0.2">
      <c r="A32" s="3"/>
      <c r="B32" s="79"/>
      <c r="C32" s="3"/>
      <c r="D32" s="3"/>
      <c r="E32" s="3"/>
      <c r="F32" s="7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">
      <c r="A33" s="84" t="s">
        <v>156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">
      <c r="A34" s="189" t="s">
        <v>157</v>
      </c>
      <c r="B34" s="189"/>
      <c r="C34" s="3" t="s">
        <v>469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6.95" customHeight="1" x14ac:dyDescent="0.2">
      <c r="A35" s="145"/>
      <c r="B35" s="14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">
      <c r="A36" s="189" t="s">
        <v>165</v>
      </c>
      <c r="B36" s="189"/>
      <c r="C36" s="3" t="s">
        <v>433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">
      <c r="A37" s="3"/>
      <c r="B37" s="3"/>
      <c r="C37" s="3" t="s">
        <v>434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6.9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">
      <c r="A39" s="189" t="s">
        <v>168</v>
      </c>
      <c r="B39" s="189"/>
      <c r="C39" s="3" t="s">
        <v>470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">
      <c r="A40" s="145"/>
      <c r="B40" s="145"/>
      <c r="C40" s="3" t="s">
        <v>471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">
      <c r="A42" s="84" t="s">
        <v>333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">
      <c r="A43" s="8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">
      <c r="A44" s="44" t="s">
        <v>472</v>
      </c>
      <c r="B44" s="3"/>
      <c r="C44" s="3"/>
      <c r="D44" s="3"/>
      <c r="E44" s="3"/>
      <c r="F44" s="3"/>
      <c r="G44" s="3"/>
      <c r="H44" s="3"/>
      <c r="I44" s="3"/>
      <c r="J44" s="78" t="str">
        <f>IF(D18='Exh A'!G59+'Exh A'!G65,"OK","ERROR")</f>
        <v>OK</v>
      </c>
      <c r="K44" s="3"/>
      <c r="L44" s="3"/>
      <c r="M44" s="3"/>
      <c r="N44" s="3"/>
      <c r="O44" s="3"/>
      <c r="P44" s="3"/>
      <c r="Q44" s="3"/>
    </row>
    <row r="45" spans="1:17" x14ac:dyDescent="0.2">
      <c r="A45" s="4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">
      <c r="A46" s="44" t="s">
        <v>473</v>
      </c>
      <c r="B46" s="3"/>
      <c r="C46" s="3"/>
      <c r="D46" s="3"/>
      <c r="E46" s="3"/>
      <c r="F46" s="3"/>
      <c r="G46" s="3"/>
      <c r="H46" s="3"/>
      <c r="I46" s="3"/>
      <c r="J46" s="78" t="str">
        <f>IF(N18='Exh A'!E59,"OK","ERROR")</f>
        <v>OK</v>
      </c>
      <c r="K46" s="3"/>
      <c r="L46" s="3"/>
      <c r="M46" s="3"/>
      <c r="N46" s="3"/>
      <c r="O46" s="3"/>
      <c r="P46" s="3"/>
      <c r="Q46" s="3"/>
    </row>
    <row r="47" spans="1:17" x14ac:dyDescent="0.2">
      <c r="A47" s="4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">
      <c r="A48" s="44" t="s">
        <v>474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">
      <c r="A49" s="44" t="s">
        <v>475</v>
      </c>
      <c r="B49" s="79"/>
      <c r="C49" s="3"/>
      <c r="D49" s="3"/>
      <c r="E49" s="3"/>
      <c r="F49" s="3"/>
      <c r="G49" s="3"/>
      <c r="H49" s="3"/>
      <c r="I49" s="3"/>
      <c r="J49" s="78" t="str">
        <f>IF((L18-N18)='Exh A'!E65,"OK","ERROR")</f>
        <v>OK</v>
      </c>
      <c r="K49" s="3"/>
      <c r="L49" s="3"/>
      <c r="M49" s="3"/>
      <c r="N49" s="3"/>
      <c r="O49" s="3"/>
      <c r="P49" s="3"/>
      <c r="Q49" s="3"/>
    </row>
    <row r="51" spans="1:17" x14ac:dyDescent="0.2">
      <c r="A51" s="44" t="s">
        <v>476</v>
      </c>
      <c r="J51" s="78" t="str">
        <f>IF(D_3=C_2,"OK","ERROR")</f>
        <v>OK</v>
      </c>
    </row>
    <row r="53" spans="1:17" x14ac:dyDescent="0.2">
      <c r="A53" s="44" t="s">
        <v>477</v>
      </c>
      <c r="J53" s="78" t="str">
        <f>IF(D_9=C_10,"OK","ERROR")</f>
        <v>OK</v>
      </c>
    </row>
  </sheetData>
  <sheetProtection algorithmName="SHA-512" hashValue="NQc8RP6ZXQoenvoCtsWByY6g7uTUVoO2ywRwT0S+pS8ARLZY4d53ntebyiXtQ1zjpusdfZ+PaJ98W4xA8zcGAQ==" saltValue="eBKGRRp0TpZdH8MBpSIcJA==" spinCount="100000" sheet="1" autoFilter="0"/>
  <mergeCells count="3">
    <mergeCell ref="A34:B34"/>
    <mergeCell ref="A36:B36"/>
    <mergeCell ref="A39:B39"/>
  </mergeCells>
  <phoneticPr fontId="0" type="noConversion"/>
  <conditionalFormatting sqref="J49 J46 J44 F25:F26 F32">
    <cfRule type="cellIs" dxfId="13" priority="4" stopIfTrue="1" operator="equal">
      <formula>"ERROR"</formula>
    </cfRule>
  </conditionalFormatting>
  <conditionalFormatting sqref="J51">
    <cfRule type="cellIs" dxfId="12" priority="3" stopIfTrue="1" operator="equal">
      <formula>"ERROR"</formula>
    </cfRule>
  </conditionalFormatting>
  <conditionalFormatting sqref="J53">
    <cfRule type="cellIs" dxfId="11" priority="2" stopIfTrue="1" operator="equal">
      <formula>"ERROR"</formula>
    </cfRule>
  </conditionalFormatting>
  <conditionalFormatting sqref="F27:F30">
    <cfRule type="cellIs" dxfId="10" priority="1" stopIfTrue="1" operator="equal">
      <formula>"ERROR"</formula>
    </cfRule>
  </conditionalFormatting>
  <pageMargins left="0.5" right="0.5" top="0.75" bottom="0.75" header="0.5" footer="0.25"/>
  <pageSetup scale="88" orientation="landscape" r:id="rId1"/>
  <headerFooter alignWithMargins="0">
    <oddFooter>Page &amp;P of &amp;N</oddFooter>
  </headerFooter>
  <ignoredErrors>
    <ignoredError sqref="A36 A34 A3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J284"/>
  <sheetViews>
    <sheetView topLeftCell="A124" zoomScale="82" zoomScaleNormal="90" workbookViewId="0">
      <selection activeCell="V18" sqref="V18"/>
    </sheetView>
  </sheetViews>
  <sheetFormatPr defaultRowHeight="12.75" x14ac:dyDescent="0.2"/>
  <cols>
    <col min="1" max="2" width="2.7109375" customWidth="1"/>
    <col min="3" max="3" width="81.140625" customWidth="1"/>
    <col min="4" max="4" width="14.7109375" customWidth="1"/>
    <col min="5" max="5" width="4.140625" customWidth="1"/>
    <col min="6" max="6" width="41" customWidth="1"/>
    <col min="7" max="7" width="2.28515625" customWidth="1"/>
    <col min="8" max="8" width="14.7109375" customWidth="1"/>
    <col min="9" max="9" width="5.28515625" customWidth="1"/>
    <col min="10" max="10" width="1.140625" customWidth="1"/>
  </cols>
  <sheetData>
    <row r="1" spans="1:9" x14ac:dyDescent="0.2">
      <c r="A1" s="16" t="str">
        <f>Steps!E6</f>
        <v>Name of College</v>
      </c>
      <c r="I1" s="50" t="s">
        <v>478</v>
      </c>
    </row>
    <row r="2" spans="1:9" x14ac:dyDescent="0.2">
      <c r="A2" s="16" t="s">
        <v>1014</v>
      </c>
    </row>
    <row r="3" spans="1:9" ht="9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</row>
    <row r="5" spans="1:9" x14ac:dyDescent="0.2">
      <c r="D5" s="14">
        <v>2025</v>
      </c>
      <c r="F5" s="14">
        <v>2024</v>
      </c>
      <c r="H5" s="14" t="s">
        <v>77</v>
      </c>
    </row>
    <row r="6" spans="1:9" ht="6" customHeight="1" x14ac:dyDescent="0.2">
      <c r="D6" s="22"/>
      <c r="F6" s="22"/>
      <c r="H6" s="22"/>
    </row>
    <row r="7" spans="1:9" x14ac:dyDescent="0.2">
      <c r="A7" s="16" t="s">
        <v>86</v>
      </c>
      <c r="B7" s="20"/>
    </row>
    <row r="8" spans="1:9" x14ac:dyDescent="0.2">
      <c r="A8" s="16"/>
      <c r="B8" s="1" t="s">
        <v>479</v>
      </c>
      <c r="D8" s="91">
        <v>0</v>
      </c>
      <c r="F8" s="91">
        <v>0</v>
      </c>
      <c r="H8" s="24">
        <f t="shared" ref="H8:H24" si="0">D8-F8</f>
        <v>0</v>
      </c>
      <c r="I8" s="44" t="s">
        <v>480</v>
      </c>
    </row>
    <row r="9" spans="1:9" x14ac:dyDescent="0.2">
      <c r="B9" s="1" t="s">
        <v>481</v>
      </c>
      <c r="D9" s="91">
        <v>0</v>
      </c>
      <c r="E9" s="24"/>
      <c r="F9" s="91">
        <v>0</v>
      </c>
      <c r="G9" s="24"/>
      <c r="H9" s="24">
        <f t="shared" si="0"/>
        <v>0</v>
      </c>
      <c r="I9" s="44" t="s">
        <v>482</v>
      </c>
    </row>
    <row r="10" spans="1:9" x14ac:dyDescent="0.2">
      <c r="B10" s="1" t="s">
        <v>483</v>
      </c>
      <c r="D10" s="91">
        <v>0</v>
      </c>
      <c r="E10" s="24"/>
      <c r="F10" s="91">
        <v>0</v>
      </c>
      <c r="G10" s="24"/>
      <c r="H10" s="24">
        <f t="shared" si="0"/>
        <v>0</v>
      </c>
      <c r="I10" s="44" t="s">
        <v>484</v>
      </c>
    </row>
    <row r="11" spans="1:9" x14ac:dyDescent="0.2">
      <c r="B11" s="1" t="s">
        <v>485</v>
      </c>
      <c r="D11" s="91">
        <v>0</v>
      </c>
      <c r="E11" s="24"/>
      <c r="F11" s="91">
        <v>0</v>
      </c>
      <c r="G11" s="24"/>
      <c r="H11" s="24">
        <f t="shared" si="0"/>
        <v>0</v>
      </c>
      <c r="I11" s="44" t="s">
        <v>486</v>
      </c>
    </row>
    <row r="12" spans="1:9" x14ac:dyDescent="0.2">
      <c r="B12" s="1" t="s">
        <v>487</v>
      </c>
      <c r="D12" s="91">
        <v>0</v>
      </c>
      <c r="E12" s="24"/>
      <c r="F12" s="91">
        <v>0</v>
      </c>
      <c r="G12" s="24"/>
      <c r="H12" s="24">
        <f t="shared" si="0"/>
        <v>0</v>
      </c>
      <c r="I12" s="44" t="s">
        <v>488</v>
      </c>
    </row>
    <row r="13" spans="1:9" x14ac:dyDescent="0.2">
      <c r="B13" s="1" t="s">
        <v>489</v>
      </c>
      <c r="D13" s="91">
        <v>0</v>
      </c>
      <c r="E13" s="24"/>
      <c r="F13" s="91">
        <v>0</v>
      </c>
      <c r="G13" s="24"/>
      <c r="H13" s="24">
        <f t="shared" si="0"/>
        <v>0</v>
      </c>
      <c r="I13" s="44" t="s">
        <v>490</v>
      </c>
    </row>
    <row r="14" spans="1:9" x14ac:dyDescent="0.2">
      <c r="B14" s="1" t="s">
        <v>491</v>
      </c>
      <c r="D14" s="91">
        <v>0</v>
      </c>
      <c r="E14" s="24"/>
      <c r="F14" s="91">
        <v>0</v>
      </c>
      <c r="G14" s="24"/>
      <c r="H14" s="24">
        <f t="shared" si="0"/>
        <v>0</v>
      </c>
      <c r="I14" s="44" t="s">
        <v>492</v>
      </c>
    </row>
    <row r="15" spans="1:9" x14ac:dyDescent="0.2">
      <c r="B15" s="1" t="s">
        <v>493</v>
      </c>
      <c r="D15" s="91">
        <v>0</v>
      </c>
      <c r="E15" s="24"/>
      <c r="F15" s="91">
        <v>0</v>
      </c>
      <c r="G15" s="24"/>
      <c r="H15" s="24">
        <f>D15-F15</f>
        <v>0</v>
      </c>
      <c r="I15" s="44" t="s">
        <v>494</v>
      </c>
    </row>
    <row r="16" spans="1:9" x14ac:dyDescent="0.2">
      <c r="B16" s="1" t="s">
        <v>495</v>
      </c>
      <c r="D16" s="91">
        <v>0</v>
      </c>
      <c r="E16" s="24"/>
      <c r="F16" s="91">
        <v>0</v>
      </c>
      <c r="G16" s="24"/>
      <c r="H16" s="24">
        <f t="shared" si="0"/>
        <v>0</v>
      </c>
      <c r="I16" s="44" t="s">
        <v>496</v>
      </c>
    </row>
    <row r="17" spans="1:9" x14ac:dyDescent="0.2">
      <c r="B17" t="s">
        <v>497</v>
      </c>
      <c r="D17" s="91">
        <v>0</v>
      </c>
      <c r="E17" s="24"/>
      <c r="F17" s="91">
        <v>0</v>
      </c>
      <c r="G17" s="24"/>
      <c r="H17" s="24">
        <f t="shared" si="0"/>
        <v>0</v>
      </c>
      <c r="I17" s="44" t="s">
        <v>498</v>
      </c>
    </row>
    <row r="18" spans="1:9" x14ac:dyDescent="0.2">
      <c r="B18" t="s">
        <v>499</v>
      </c>
      <c r="C18" s="20"/>
      <c r="D18" s="91">
        <v>0</v>
      </c>
      <c r="E18" s="24"/>
      <c r="F18" s="91">
        <v>0</v>
      </c>
      <c r="G18" s="24"/>
      <c r="H18" s="24">
        <f t="shared" si="0"/>
        <v>0</v>
      </c>
      <c r="I18" s="44" t="s">
        <v>500</v>
      </c>
    </row>
    <row r="19" spans="1:9" x14ac:dyDescent="0.2">
      <c r="B19" t="s">
        <v>501</v>
      </c>
      <c r="C19" s="20"/>
      <c r="D19" s="91">
        <v>0</v>
      </c>
      <c r="E19" s="24"/>
      <c r="F19" s="91">
        <v>0</v>
      </c>
      <c r="G19" s="24"/>
      <c r="H19" s="24">
        <f t="shared" si="0"/>
        <v>0</v>
      </c>
      <c r="I19" s="44" t="s">
        <v>502</v>
      </c>
    </row>
    <row r="20" spans="1:9" x14ac:dyDescent="0.2">
      <c r="A20" s="1"/>
      <c r="B20" s="1" t="s">
        <v>503</v>
      </c>
      <c r="D20" s="91">
        <v>0</v>
      </c>
      <c r="E20" s="24"/>
      <c r="F20" s="91">
        <v>0</v>
      </c>
      <c r="G20" s="24"/>
      <c r="H20" s="24">
        <f t="shared" si="0"/>
        <v>0</v>
      </c>
      <c r="I20" s="44" t="s">
        <v>504</v>
      </c>
    </row>
    <row r="21" spans="1:9" x14ac:dyDescent="0.2">
      <c r="B21" s="1" t="s">
        <v>505</v>
      </c>
      <c r="D21" s="91">
        <v>0</v>
      </c>
      <c r="E21" s="24"/>
      <c r="F21" s="91">
        <v>0</v>
      </c>
      <c r="G21" s="24"/>
      <c r="H21" s="24">
        <f t="shared" si="0"/>
        <v>0</v>
      </c>
      <c r="I21" s="44" t="s">
        <v>506</v>
      </c>
    </row>
    <row r="22" spans="1:9" x14ac:dyDescent="0.2">
      <c r="B22" t="s">
        <v>507</v>
      </c>
      <c r="C22" s="20"/>
      <c r="D22" s="91">
        <v>0</v>
      </c>
      <c r="E22" s="24"/>
      <c r="F22" s="91">
        <v>0</v>
      </c>
      <c r="G22" s="24"/>
      <c r="H22" s="24">
        <f t="shared" si="0"/>
        <v>0</v>
      </c>
      <c r="I22" s="44" t="s">
        <v>508</v>
      </c>
    </row>
    <row r="23" spans="1:9" x14ac:dyDescent="0.2">
      <c r="B23" t="s">
        <v>509</v>
      </c>
      <c r="C23" s="20"/>
      <c r="D23" s="92">
        <v>0</v>
      </c>
      <c r="E23" s="24"/>
      <c r="F23" s="92">
        <v>0</v>
      </c>
      <c r="G23" s="24"/>
      <c r="H23" s="24">
        <f t="shared" si="0"/>
        <v>0</v>
      </c>
      <c r="I23" s="44" t="s">
        <v>510</v>
      </c>
    </row>
    <row r="24" spans="1:9" x14ac:dyDescent="0.2">
      <c r="C24" s="1" t="s">
        <v>402</v>
      </c>
      <c r="D24" s="25">
        <f>SUM(D8:D23)</f>
        <v>0</v>
      </c>
      <c r="E24" s="24"/>
      <c r="F24" s="25">
        <f>SUM(F8:F23)</f>
        <v>0</v>
      </c>
      <c r="G24" s="24"/>
      <c r="H24" s="26">
        <f t="shared" si="0"/>
        <v>0</v>
      </c>
      <c r="I24" s="49"/>
    </row>
    <row r="25" spans="1:9" x14ac:dyDescent="0.2">
      <c r="B25" s="20"/>
      <c r="C25" s="20" t="s">
        <v>353</v>
      </c>
      <c r="D25" s="41" t="str">
        <f>IF(D24='Exh A'!E16+'Exh A'!E31,"OK","ERROR")</f>
        <v>OK</v>
      </c>
      <c r="E25" s="24"/>
      <c r="F25" s="41" t="str">
        <f>IF(F24='Exh A'!G16+'Exh A'!G31,"OK","ERROR")</f>
        <v>OK</v>
      </c>
      <c r="G25" s="24"/>
      <c r="H25" s="24"/>
      <c r="I25" s="49"/>
    </row>
    <row r="26" spans="1:9" ht="8.1" customHeight="1" x14ac:dyDescent="0.2">
      <c r="B26" s="20"/>
      <c r="C26" s="20"/>
      <c r="D26" s="24"/>
      <c r="E26" s="24"/>
      <c r="F26" s="24"/>
      <c r="G26" s="24"/>
      <c r="H26" s="24"/>
      <c r="I26" s="49"/>
    </row>
    <row r="27" spans="1:9" ht="12.75" customHeight="1" x14ac:dyDescent="0.2">
      <c r="A27" s="16" t="s">
        <v>511</v>
      </c>
      <c r="B27" s="20"/>
      <c r="C27" s="20"/>
      <c r="D27" s="24"/>
      <c r="E27" s="24"/>
      <c r="F27" s="24"/>
      <c r="G27" s="24"/>
      <c r="H27" s="24"/>
      <c r="I27" s="49"/>
    </row>
    <row r="28" spans="1:9" ht="12.75" customHeight="1" x14ac:dyDescent="0.2">
      <c r="B28" s="1" t="s">
        <v>512</v>
      </c>
      <c r="C28" s="20"/>
      <c r="D28" s="91">
        <v>0</v>
      </c>
      <c r="E28" s="24"/>
      <c r="F28" s="91">
        <v>0</v>
      </c>
      <c r="G28" s="24"/>
      <c r="H28" s="24">
        <f>D28-F28</f>
        <v>0</v>
      </c>
      <c r="I28" s="49" t="s">
        <v>513</v>
      </c>
    </row>
    <row r="29" spans="1:9" ht="12.75" customHeight="1" x14ac:dyDescent="0.2">
      <c r="B29" s="1" t="s">
        <v>514</v>
      </c>
      <c r="C29" s="20"/>
      <c r="D29" s="91">
        <v>0</v>
      </c>
      <c r="E29" s="24"/>
      <c r="F29" s="91">
        <v>0</v>
      </c>
      <c r="G29" s="24"/>
      <c r="H29" s="24">
        <f>D29-F29</f>
        <v>0</v>
      </c>
      <c r="I29" s="49" t="s">
        <v>515</v>
      </c>
    </row>
    <row r="30" spans="1:9" ht="12.75" customHeight="1" x14ac:dyDescent="0.2">
      <c r="B30" s="1" t="s">
        <v>516</v>
      </c>
      <c r="C30" s="20"/>
      <c r="D30" s="92">
        <v>0</v>
      </c>
      <c r="E30" s="24"/>
      <c r="F30" s="92">
        <v>0</v>
      </c>
      <c r="G30" s="24"/>
      <c r="H30" s="24">
        <f>D30-F30</f>
        <v>0</v>
      </c>
      <c r="I30" s="49" t="s">
        <v>517</v>
      </c>
    </row>
    <row r="31" spans="1:9" ht="12.75" customHeight="1" x14ac:dyDescent="0.2">
      <c r="B31" s="1"/>
      <c r="C31" s="1" t="s">
        <v>402</v>
      </c>
      <c r="D31" s="25">
        <f>SUM(D28:D30)</f>
        <v>0</v>
      </c>
      <c r="E31" s="24"/>
      <c r="F31" s="25">
        <f>SUM(F28:F30)</f>
        <v>0</v>
      </c>
      <c r="G31" s="24"/>
      <c r="H31" s="26">
        <f>D31-F31</f>
        <v>0</v>
      </c>
      <c r="I31" s="49"/>
    </row>
    <row r="32" spans="1:9" ht="12.75" customHeight="1" x14ac:dyDescent="0.2">
      <c r="B32" s="20"/>
      <c r="C32" s="20" t="s">
        <v>518</v>
      </c>
      <c r="D32" s="41" t="str">
        <f>IF(D31='Exh A'!E17+'Exh A'!E32,"OK","ERROR")</f>
        <v>OK</v>
      </c>
      <c r="E32" s="24"/>
      <c r="F32" s="41" t="str">
        <f>IF(F31='Exh A'!G17+'Exh A'!G32,"OK","ERROR")</f>
        <v>OK</v>
      </c>
      <c r="G32" s="24"/>
      <c r="H32" s="24"/>
      <c r="I32" s="49"/>
    </row>
    <row r="33" spans="1:9" ht="8.1" customHeight="1" x14ac:dyDescent="0.2">
      <c r="B33" s="20"/>
      <c r="C33" s="20"/>
      <c r="D33" s="41"/>
      <c r="E33" s="24"/>
      <c r="F33" s="41"/>
      <c r="G33" s="24"/>
      <c r="H33" s="24"/>
      <c r="I33" s="49"/>
    </row>
    <row r="34" spans="1:9" ht="12.75" customHeight="1" x14ac:dyDescent="0.2">
      <c r="A34" s="16" t="s">
        <v>88</v>
      </c>
      <c r="B34" s="20"/>
      <c r="C34" s="20"/>
      <c r="D34" s="41"/>
      <c r="E34" s="24"/>
      <c r="F34" s="41"/>
      <c r="G34" s="24"/>
      <c r="H34" s="24"/>
      <c r="I34" s="49"/>
    </row>
    <row r="35" spans="1:9" ht="12.75" customHeight="1" x14ac:dyDescent="0.2">
      <c r="B35" s="1" t="s">
        <v>519</v>
      </c>
      <c r="C35" s="20"/>
      <c r="D35" s="91">
        <v>0</v>
      </c>
      <c r="E35" s="24"/>
      <c r="F35" s="91">
        <v>0</v>
      </c>
      <c r="G35" s="24"/>
      <c r="H35" s="24">
        <f>D35-F35</f>
        <v>0</v>
      </c>
      <c r="I35" s="49" t="s">
        <v>520</v>
      </c>
    </row>
    <row r="36" spans="1:9" ht="12.75" customHeight="1" x14ac:dyDescent="0.2">
      <c r="B36" s="1" t="s">
        <v>521</v>
      </c>
      <c r="C36" s="20"/>
      <c r="D36" s="92">
        <v>0</v>
      </c>
      <c r="E36" s="24"/>
      <c r="F36" s="92">
        <v>0</v>
      </c>
      <c r="G36" s="24"/>
      <c r="H36" s="24">
        <f>D36-F36</f>
        <v>0</v>
      </c>
      <c r="I36" s="49" t="s">
        <v>522</v>
      </c>
    </row>
    <row r="37" spans="1:9" ht="12.75" customHeight="1" x14ac:dyDescent="0.2">
      <c r="B37" s="1"/>
      <c r="C37" s="1" t="s">
        <v>402</v>
      </c>
      <c r="D37" s="25">
        <f>SUM(D35:D36)</f>
        <v>0</v>
      </c>
      <c r="E37" s="24"/>
      <c r="F37" s="26">
        <f>SUM(F35:F36)</f>
        <v>0</v>
      </c>
      <c r="G37" s="24"/>
      <c r="H37" s="26">
        <f>D37-F37</f>
        <v>0</v>
      </c>
      <c r="I37" s="49"/>
    </row>
    <row r="38" spans="1:9" ht="12.75" customHeight="1" x14ac:dyDescent="0.2">
      <c r="B38" s="20"/>
      <c r="C38" s="20" t="s">
        <v>518</v>
      </c>
      <c r="D38" s="41" t="str">
        <f>IF(D37='Exh A'!E18+'Exh A'!E33,"OK","ERROR")</f>
        <v>OK</v>
      </c>
      <c r="E38" s="24"/>
      <c r="F38" s="41" t="str">
        <f>IF(F37='Exh A'!G18+'Exh A'!G33,"OK","ERROR")</f>
        <v>OK</v>
      </c>
      <c r="G38" s="24"/>
      <c r="H38" s="24"/>
      <c r="I38" s="49"/>
    </row>
    <row r="39" spans="1:9" ht="8.1" customHeight="1" x14ac:dyDescent="0.2">
      <c r="B39" s="20"/>
      <c r="C39" s="20"/>
      <c r="D39" s="24"/>
      <c r="E39" s="24"/>
      <c r="F39" s="24"/>
      <c r="G39" s="24"/>
      <c r="H39" s="24"/>
      <c r="I39" s="49"/>
    </row>
    <row r="40" spans="1:9" ht="12.75" customHeight="1" x14ac:dyDescent="0.2">
      <c r="A40" s="16" t="s">
        <v>89</v>
      </c>
      <c r="B40" s="20"/>
      <c r="C40" s="20"/>
      <c r="D40" s="24"/>
      <c r="E40" s="24"/>
      <c r="F40" s="24"/>
      <c r="G40" s="24"/>
      <c r="H40" s="24"/>
      <c r="I40" s="49"/>
    </row>
    <row r="41" spans="1:9" ht="12.75" customHeight="1" x14ac:dyDescent="0.2">
      <c r="B41" s="1" t="s">
        <v>523</v>
      </c>
      <c r="C41" s="20"/>
      <c r="D41" s="91">
        <v>0</v>
      </c>
      <c r="E41" s="24"/>
      <c r="F41" s="91">
        <v>0</v>
      </c>
      <c r="G41" s="24"/>
      <c r="H41" s="24">
        <f>D41-F41</f>
        <v>0</v>
      </c>
      <c r="I41" s="49" t="s">
        <v>524</v>
      </c>
    </row>
    <row r="42" spans="1:9" ht="12.75" customHeight="1" x14ac:dyDescent="0.2">
      <c r="B42" s="1" t="s">
        <v>525</v>
      </c>
      <c r="C42" s="20"/>
      <c r="D42" s="92">
        <v>0</v>
      </c>
      <c r="E42" s="24"/>
      <c r="F42" s="92">
        <v>0</v>
      </c>
      <c r="G42" s="24"/>
      <c r="H42" s="25">
        <f>D42-F42</f>
        <v>0</v>
      </c>
      <c r="I42" s="49" t="s">
        <v>526</v>
      </c>
    </row>
    <row r="43" spans="1:9" ht="12.75" customHeight="1" x14ac:dyDescent="0.2">
      <c r="B43" s="20"/>
      <c r="C43" s="1" t="s">
        <v>402</v>
      </c>
      <c r="D43" s="26">
        <f>SUM(D41:D42)</f>
        <v>0</v>
      </c>
      <c r="E43" s="24"/>
      <c r="F43" s="26">
        <f>SUM(F41:F42)</f>
        <v>0</v>
      </c>
      <c r="G43" s="24"/>
      <c r="H43" s="26">
        <f>D43-F43</f>
        <v>0</v>
      </c>
      <c r="I43" s="49"/>
    </row>
    <row r="44" spans="1:9" ht="12.75" customHeight="1" x14ac:dyDescent="0.2">
      <c r="B44" s="20"/>
      <c r="C44" s="20" t="s">
        <v>518</v>
      </c>
      <c r="D44" s="41" t="str">
        <f>IF(D43='Exh A'!E19,"OK","ERROR")</f>
        <v>OK</v>
      </c>
      <c r="E44" s="24"/>
      <c r="F44" s="41" t="str">
        <f>IF(F43='Exh A'!G19,"OK","ERROR")</f>
        <v>OK</v>
      </c>
      <c r="G44" s="24"/>
      <c r="H44" s="24"/>
      <c r="I44" s="49"/>
    </row>
    <row r="45" spans="1:9" ht="12" customHeight="1" x14ac:dyDescent="0.2">
      <c r="B45" s="20"/>
      <c r="C45" s="20"/>
      <c r="D45" s="24"/>
      <c r="E45" s="24"/>
      <c r="F45" s="24"/>
      <c r="G45" s="24"/>
      <c r="H45" s="24"/>
      <c r="I45" s="49"/>
    </row>
    <row r="46" spans="1:9" x14ac:dyDescent="0.2">
      <c r="A46" s="16" t="s">
        <v>119</v>
      </c>
      <c r="D46" s="24"/>
      <c r="E46" s="24"/>
      <c r="F46" s="24"/>
      <c r="G46" s="24"/>
      <c r="H46" s="24"/>
      <c r="I46" s="49"/>
    </row>
    <row r="47" spans="1:9" x14ac:dyDescent="0.2">
      <c r="B47" t="s">
        <v>527</v>
      </c>
      <c r="D47" s="91">
        <v>0</v>
      </c>
      <c r="E47" s="24"/>
      <c r="F47" s="91">
        <v>0</v>
      </c>
      <c r="G47" s="24"/>
      <c r="H47" s="24">
        <f t="shared" ref="H47:H56" si="1">D47-F47</f>
        <v>0</v>
      </c>
      <c r="I47" s="49" t="s">
        <v>528</v>
      </c>
    </row>
    <row r="48" spans="1:9" x14ac:dyDescent="0.2">
      <c r="B48" t="s">
        <v>529</v>
      </c>
      <c r="D48" s="91">
        <v>0</v>
      </c>
      <c r="E48" s="24"/>
      <c r="F48" s="91">
        <v>0</v>
      </c>
      <c r="G48" s="24"/>
      <c r="H48" s="24">
        <f t="shared" si="1"/>
        <v>0</v>
      </c>
      <c r="I48" s="49" t="s">
        <v>530</v>
      </c>
    </row>
    <row r="49" spans="1:9" x14ac:dyDescent="0.2">
      <c r="B49" t="s">
        <v>531</v>
      </c>
      <c r="D49" s="91">
        <v>0</v>
      </c>
      <c r="E49" s="24"/>
      <c r="F49" s="91">
        <v>0</v>
      </c>
      <c r="G49" s="24"/>
      <c r="H49" s="24">
        <f t="shared" si="1"/>
        <v>0</v>
      </c>
      <c r="I49" s="49" t="s">
        <v>532</v>
      </c>
    </row>
    <row r="50" spans="1:9" x14ac:dyDescent="0.2">
      <c r="B50" t="s">
        <v>533</v>
      </c>
      <c r="D50" s="91">
        <v>0</v>
      </c>
      <c r="E50" s="24"/>
      <c r="F50" s="91">
        <v>0</v>
      </c>
      <c r="G50" s="24"/>
      <c r="H50" s="24">
        <f t="shared" si="1"/>
        <v>0</v>
      </c>
      <c r="I50" s="49" t="s">
        <v>534</v>
      </c>
    </row>
    <row r="51" spans="1:9" x14ac:dyDescent="0.2">
      <c r="B51" t="s">
        <v>535</v>
      </c>
      <c r="C51" s="20"/>
      <c r="D51" s="91">
        <v>0</v>
      </c>
      <c r="E51" s="24"/>
      <c r="F51" s="91">
        <v>0</v>
      </c>
      <c r="G51" s="24"/>
      <c r="H51" s="24">
        <f t="shared" si="1"/>
        <v>0</v>
      </c>
      <c r="I51" s="49" t="s">
        <v>536</v>
      </c>
    </row>
    <row r="52" spans="1:9" x14ac:dyDescent="0.2">
      <c r="B52" t="s">
        <v>537</v>
      </c>
      <c r="C52" s="20"/>
      <c r="D52" s="91">
        <v>0</v>
      </c>
      <c r="E52" s="24"/>
      <c r="F52" s="91">
        <v>0</v>
      </c>
      <c r="G52" s="24"/>
      <c r="H52" s="24">
        <f t="shared" si="1"/>
        <v>0</v>
      </c>
      <c r="I52" s="49" t="s">
        <v>538</v>
      </c>
    </row>
    <row r="53" spans="1:9" x14ac:dyDescent="0.2">
      <c r="B53" s="1" t="s">
        <v>539</v>
      </c>
      <c r="C53" s="20"/>
      <c r="D53" s="91">
        <v>0</v>
      </c>
      <c r="E53" s="24"/>
      <c r="F53" s="91">
        <v>0</v>
      </c>
      <c r="G53" s="24"/>
      <c r="H53" s="24">
        <f t="shared" si="1"/>
        <v>0</v>
      </c>
      <c r="I53" s="49" t="s">
        <v>540</v>
      </c>
    </row>
    <row r="54" spans="1:9" x14ac:dyDescent="0.2">
      <c r="B54" s="1" t="s">
        <v>541</v>
      </c>
      <c r="C54" s="20"/>
      <c r="D54" s="91">
        <v>0</v>
      </c>
      <c r="E54" s="24"/>
      <c r="F54" s="91">
        <v>0</v>
      </c>
      <c r="G54" s="24"/>
      <c r="H54" s="24">
        <f t="shared" si="1"/>
        <v>0</v>
      </c>
      <c r="I54" s="49" t="s">
        <v>542</v>
      </c>
    </row>
    <row r="55" spans="1:9" x14ac:dyDescent="0.2">
      <c r="B55" s="1" t="s">
        <v>543</v>
      </c>
      <c r="C55" s="20"/>
      <c r="D55" s="92">
        <v>0</v>
      </c>
      <c r="E55" s="24"/>
      <c r="F55" s="92">
        <v>0</v>
      </c>
      <c r="G55" s="24"/>
      <c r="H55" s="24">
        <f t="shared" si="1"/>
        <v>0</v>
      </c>
      <c r="I55" s="49" t="s">
        <v>544</v>
      </c>
    </row>
    <row r="56" spans="1:9" x14ac:dyDescent="0.2">
      <c r="B56" s="20"/>
      <c r="C56" t="s">
        <v>402</v>
      </c>
      <c r="D56" s="25">
        <f>SUM(D47:D55)</f>
        <v>0</v>
      </c>
      <c r="E56" s="24"/>
      <c r="F56" s="25">
        <f>SUM(F47:F55)</f>
        <v>0</v>
      </c>
      <c r="G56" s="24"/>
      <c r="H56" s="26">
        <f t="shared" si="1"/>
        <v>0</v>
      </c>
      <c r="I56" s="49"/>
    </row>
    <row r="57" spans="1:9" x14ac:dyDescent="0.2">
      <c r="B57" s="20"/>
      <c r="C57" s="20" t="s">
        <v>518</v>
      </c>
      <c r="D57" s="41" t="str">
        <f>IF(D56='Exh A'!E54,"OK","ERROR")</f>
        <v>OK</v>
      </c>
      <c r="E57" s="24"/>
      <c r="F57" s="41" t="str">
        <f>IF(F56='Exh A'!G54,"OK","ERROR")</f>
        <v>OK</v>
      </c>
      <c r="G57" s="24"/>
      <c r="H57" s="24"/>
      <c r="I57" s="49"/>
    </row>
    <row r="58" spans="1:9" ht="12.75" customHeight="1" x14ac:dyDescent="0.2">
      <c r="B58" s="20"/>
      <c r="C58" s="20"/>
      <c r="D58" s="24"/>
      <c r="E58" s="24"/>
      <c r="F58" s="24"/>
      <c r="G58" s="24"/>
      <c r="H58" s="24"/>
      <c r="I58" s="49"/>
    </row>
    <row r="59" spans="1:9" x14ac:dyDescent="0.2">
      <c r="A59" s="16" t="s">
        <v>124</v>
      </c>
      <c r="B59" s="20"/>
      <c r="D59" s="24"/>
      <c r="E59" s="24"/>
      <c r="F59" s="24"/>
      <c r="G59" s="24"/>
      <c r="H59" s="24"/>
      <c r="I59" s="49"/>
    </row>
    <row r="60" spans="1:9" x14ac:dyDescent="0.2">
      <c r="B60" s="1" t="s">
        <v>545</v>
      </c>
      <c r="D60" s="91">
        <v>0</v>
      </c>
      <c r="E60" s="24"/>
      <c r="F60" s="91">
        <v>0</v>
      </c>
      <c r="G60" s="24"/>
      <c r="H60" s="24">
        <f t="shared" ref="H60:H67" si="2">D60-F60</f>
        <v>0</v>
      </c>
      <c r="I60" s="49" t="s">
        <v>546</v>
      </c>
    </row>
    <row r="61" spans="1:9" x14ac:dyDescent="0.2">
      <c r="B61" s="1" t="s">
        <v>547</v>
      </c>
      <c r="D61" s="91">
        <v>0</v>
      </c>
      <c r="E61" s="24"/>
      <c r="F61" s="91">
        <v>0</v>
      </c>
      <c r="G61" s="24"/>
      <c r="H61" s="24">
        <f t="shared" si="2"/>
        <v>0</v>
      </c>
      <c r="I61" s="49" t="s">
        <v>548</v>
      </c>
    </row>
    <row r="62" spans="1:9" x14ac:dyDescent="0.2">
      <c r="B62" s="1" t="s">
        <v>277</v>
      </c>
      <c r="D62" s="91">
        <v>0</v>
      </c>
      <c r="E62" s="24"/>
      <c r="F62" s="91">
        <v>0</v>
      </c>
      <c r="G62" s="24"/>
      <c r="H62" s="24">
        <f t="shared" si="2"/>
        <v>0</v>
      </c>
      <c r="I62" s="49" t="s">
        <v>549</v>
      </c>
    </row>
    <row r="63" spans="1:9" x14ac:dyDescent="0.2">
      <c r="B63" s="1" t="s">
        <v>550</v>
      </c>
      <c r="D63" s="91">
        <v>0</v>
      </c>
      <c r="E63" s="24"/>
      <c r="F63" s="91">
        <v>0</v>
      </c>
      <c r="G63" s="24"/>
      <c r="H63" s="24">
        <f t="shared" si="2"/>
        <v>0</v>
      </c>
      <c r="I63" s="49" t="s">
        <v>551</v>
      </c>
    </row>
    <row r="64" spans="1:9" x14ac:dyDescent="0.2">
      <c r="B64" s="1" t="s">
        <v>294</v>
      </c>
      <c r="D64" s="91">
        <v>0</v>
      </c>
      <c r="E64" s="24"/>
      <c r="F64" s="91">
        <v>0</v>
      </c>
      <c r="G64" s="24"/>
      <c r="H64" s="24">
        <f t="shared" si="2"/>
        <v>0</v>
      </c>
      <c r="I64" s="49" t="s">
        <v>552</v>
      </c>
    </row>
    <row r="65" spans="1:9" x14ac:dyDescent="0.2">
      <c r="B65" s="1" t="s">
        <v>553</v>
      </c>
      <c r="D65" s="91">
        <v>0</v>
      </c>
      <c r="E65" s="24"/>
      <c r="F65" s="91">
        <v>0</v>
      </c>
      <c r="G65" s="24"/>
      <c r="H65" s="24">
        <f t="shared" si="2"/>
        <v>0</v>
      </c>
      <c r="I65" s="49" t="s">
        <v>554</v>
      </c>
    </row>
    <row r="66" spans="1:9" x14ac:dyDescent="0.2">
      <c r="B66" s="1" t="s">
        <v>271</v>
      </c>
      <c r="D66" s="92"/>
      <c r="E66" s="24"/>
      <c r="F66" s="92"/>
      <c r="G66" s="24"/>
      <c r="H66" s="24">
        <f t="shared" si="2"/>
        <v>0</v>
      </c>
      <c r="I66" s="49" t="s">
        <v>555</v>
      </c>
    </row>
    <row r="67" spans="1:9" x14ac:dyDescent="0.2">
      <c r="B67" s="1"/>
      <c r="C67" t="s">
        <v>402</v>
      </c>
      <c r="D67" s="26">
        <f>SUM(D60:D66)</f>
        <v>0</v>
      </c>
      <c r="E67" s="24"/>
      <c r="F67" s="26">
        <f>SUM(F60:F66)</f>
        <v>0</v>
      </c>
      <c r="G67" s="24"/>
      <c r="H67" s="26">
        <f t="shared" si="2"/>
        <v>0</v>
      </c>
      <c r="I67" s="49"/>
    </row>
    <row r="68" spans="1:9" x14ac:dyDescent="0.2">
      <c r="B68" s="1"/>
      <c r="C68" s="20" t="s">
        <v>518</v>
      </c>
      <c r="D68" s="41" t="str">
        <f>IF(D67='Exh A'!E57,"OK","ERROR")</f>
        <v>OK</v>
      </c>
      <c r="F68" s="41" t="str">
        <f>IF(F67='Exh A'!G57,"OK","ERROR")</f>
        <v>OK</v>
      </c>
      <c r="I68" s="49"/>
    </row>
    <row r="69" spans="1:9" ht="12.75" customHeight="1" x14ac:dyDescent="0.2">
      <c r="B69" s="1"/>
      <c r="C69" s="20"/>
      <c r="D69" s="41"/>
      <c r="F69" s="41"/>
      <c r="I69" s="49"/>
    </row>
    <row r="70" spans="1:9" x14ac:dyDescent="0.2">
      <c r="A70" s="16" t="s">
        <v>556</v>
      </c>
    </row>
    <row r="71" spans="1:9" x14ac:dyDescent="0.2">
      <c r="B71" t="s">
        <v>557</v>
      </c>
      <c r="D71" s="91">
        <v>0</v>
      </c>
      <c r="E71" s="49" t="s">
        <v>558</v>
      </c>
    </row>
    <row r="72" spans="1:9" x14ac:dyDescent="0.2">
      <c r="B72" t="s">
        <v>559</v>
      </c>
      <c r="D72" s="91">
        <v>0</v>
      </c>
      <c r="E72" s="49" t="s">
        <v>560</v>
      </c>
    </row>
    <row r="73" spans="1:9" x14ac:dyDescent="0.2">
      <c r="B73" t="s">
        <v>561</v>
      </c>
      <c r="D73" s="91">
        <v>0</v>
      </c>
      <c r="E73" s="49" t="s">
        <v>562</v>
      </c>
    </row>
    <row r="74" spans="1:9" x14ac:dyDescent="0.2">
      <c r="B74" t="s">
        <v>563</v>
      </c>
      <c r="D74" s="92">
        <v>0</v>
      </c>
      <c r="E74" s="49" t="s">
        <v>564</v>
      </c>
      <c r="F74" s="20" t="s">
        <v>565</v>
      </c>
    </row>
    <row r="75" spans="1:9" x14ac:dyDescent="0.2">
      <c r="C75" t="s">
        <v>402</v>
      </c>
      <c r="D75" s="26">
        <f>D71+D72-D73+D74</f>
        <v>0</v>
      </c>
      <c r="E75" s="49"/>
    </row>
    <row r="76" spans="1:9" x14ac:dyDescent="0.2">
      <c r="B76" s="20" t="s">
        <v>566</v>
      </c>
      <c r="D76" s="41" t="str">
        <f>IF(D75=ROUND('Exh A'!I14+'Exh A'!I15+'Exh A'!I34+'Exh A'!I35,2),"OK","ERROR")</f>
        <v>OK</v>
      </c>
      <c r="E76" s="49"/>
    </row>
    <row r="77" spans="1:9" ht="12.75" customHeight="1" x14ac:dyDescent="0.2">
      <c r="B77" s="20"/>
      <c r="D77" s="41"/>
      <c r="E77" s="49"/>
    </row>
    <row r="78" spans="1:9" x14ac:dyDescent="0.2">
      <c r="A78" s="16" t="s">
        <v>281</v>
      </c>
      <c r="B78" s="20"/>
      <c r="D78" s="41"/>
      <c r="E78" s="49"/>
    </row>
    <row r="79" spans="1:9" x14ac:dyDescent="0.2">
      <c r="B79" s="1" t="s">
        <v>567</v>
      </c>
      <c r="D79" s="24"/>
      <c r="E79" s="49"/>
    </row>
    <row r="80" spans="1:9" x14ac:dyDescent="0.2">
      <c r="A80" s="20"/>
      <c r="C80" s="1" t="s">
        <v>568</v>
      </c>
      <c r="D80" s="91">
        <v>0</v>
      </c>
      <c r="E80" s="49" t="s">
        <v>569</v>
      </c>
    </row>
    <row r="81" spans="1:6" x14ac:dyDescent="0.2">
      <c r="C81" s="1" t="s">
        <v>570</v>
      </c>
      <c r="D81" s="92">
        <v>0</v>
      </c>
      <c r="F81" s="20" t="s">
        <v>571</v>
      </c>
    </row>
    <row r="82" spans="1:6" x14ac:dyDescent="0.2">
      <c r="C82" s="68" t="s">
        <v>567</v>
      </c>
      <c r="D82" s="24">
        <f>SUM(D80:D81)</f>
        <v>0</v>
      </c>
      <c r="E82" s="49"/>
    </row>
    <row r="83" spans="1:6" x14ac:dyDescent="0.2">
      <c r="B83" s="1" t="s">
        <v>572</v>
      </c>
      <c r="D83" s="91">
        <v>0</v>
      </c>
      <c r="E83" s="49" t="s">
        <v>573</v>
      </c>
    </row>
    <row r="84" spans="1:6" x14ac:dyDescent="0.2">
      <c r="B84" t="s">
        <v>574</v>
      </c>
      <c r="D84" s="91">
        <v>0</v>
      </c>
      <c r="E84" s="49" t="s">
        <v>575</v>
      </c>
    </row>
    <row r="85" spans="1:6" x14ac:dyDescent="0.2">
      <c r="B85" s="20"/>
      <c r="C85" s="68" t="s">
        <v>576</v>
      </c>
      <c r="D85" s="26">
        <f>D82+D83-D84</f>
        <v>0</v>
      </c>
    </row>
    <row r="86" spans="1:6" x14ac:dyDescent="0.2">
      <c r="B86" s="20" t="s">
        <v>577</v>
      </c>
      <c r="D86" s="41" t="str">
        <f>IF(D85='Exh B'!E40,"OK","ERROR")</f>
        <v>OK</v>
      </c>
      <c r="E86" s="49"/>
    </row>
    <row r="87" spans="1:6" ht="6" customHeight="1" x14ac:dyDescent="0.2">
      <c r="B87" s="20"/>
      <c r="D87" s="24"/>
      <c r="E87" s="49"/>
    </row>
    <row r="88" spans="1:6" x14ac:dyDescent="0.2">
      <c r="A88" s="16" t="s">
        <v>246</v>
      </c>
      <c r="B88" s="20"/>
      <c r="D88" s="24"/>
      <c r="E88" s="49"/>
    </row>
    <row r="89" spans="1:6" x14ac:dyDescent="0.2">
      <c r="B89" s="1" t="s">
        <v>578</v>
      </c>
      <c r="D89" s="91">
        <v>0</v>
      </c>
      <c r="E89" s="49" t="s">
        <v>579</v>
      </c>
    </row>
    <row r="90" spans="1:6" x14ac:dyDescent="0.2">
      <c r="B90" s="1" t="s">
        <v>580</v>
      </c>
      <c r="D90" s="92">
        <v>0</v>
      </c>
      <c r="E90" s="49" t="s">
        <v>581</v>
      </c>
    </row>
    <row r="91" spans="1:6" x14ac:dyDescent="0.2">
      <c r="B91" s="20"/>
      <c r="C91" t="s">
        <v>402</v>
      </c>
      <c r="D91" s="25">
        <f>SUM(D89:D90)</f>
        <v>0</v>
      </c>
      <c r="E91" s="49"/>
    </row>
    <row r="92" spans="1:6" x14ac:dyDescent="0.2">
      <c r="C92" s="20" t="s">
        <v>577</v>
      </c>
      <c r="D92" s="41" t="str">
        <f>IF(D91='Exh B'!E17,"OK","ERROR")</f>
        <v>OK</v>
      </c>
      <c r="E92" s="49"/>
    </row>
    <row r="93" spans="1:6" ht="6" customHeight="1" x14ac:dyDescent="0.2">
      <c r="B93" s="20"/>
      <c r="C93" s="20"/>
      <c r="D93" s="41"/>
      <c r="E93" s="49"/>
    </row>
    <row r="94" spans="1:6" x14ac:dyDescent="0.2">
      <c r="A94" s="16" t="s">
        <v>285</v>
      </c>
      <c r="B94" s="20"/>
      <c r="C94" s="20"/>
      <c r="D94" s="41"/>
      <c r="E94" s="49"/>
    </row>
    <row r="95" spans="1:6" x14ac:dyDescent="0.2">
      <c r="B95" s="1" t="s">
        <v>582</v>
      </c>
      <c r="C95" s="20"/>
      <c r="D95" s="91">
        <v>0</v>
      </c>
      <c r="E95" s="49" t="s">
        <v>426</v>
      </c>
    </row>
    <row r="96" spans="1:6" x14ac:dyDescent="0.2">
      <c r="B96" s="1" t="s">
        <v>583</v>
      </c>
      <c r="C96" s="20"/>
      <c r="D96" s="91">
        <v>0</v>
      </c>
      <c r="E96" s="131"/>
    </row>
    <row r="97" spans="1:10" x14ac:dyDescent="0.2">
      <c r="B97" s="1" t="s">
        <v>584</v>
      </c>
      <c r="C97" s="20"/>
      <c r="D97" s="91">
        <v>0</v>
      </c>
      <c r="E97" s="49" t="s">
        <v>585</v>
      </c>
    </row>
    <row r="98" spans="1:10" x14ac:dyDescent="0.2">
      <c r="B98" s="1" t="s">
        <v>586</v>
      </c>
      <c r="C98" s="20"/>
      <c r="D98" s="92">
        <v>0</v>
      </c>
      <c r="E98" s="49" t="s">
        <v>587</v>
      </c>
    </row>
    <row r="99" spans="1:10" x14ac:dyDescent="0.2">
      <c r="B99" s="20"/>
      <c r="C99" s="1" t="s">
        <v>402</v>
      </c>
      <c r="D99" s="25">
        <f>SUM(D95:D98)</f>
        <v>0</v>
      </c>
      <c r="E99" s="49"/>
    </row>
    <row r="100" spans="1:10" x14ac:dyDescent="0.2">
      <c r="C100" s="20" t="s">
        <v>577</v>
      </c>
      <c r="D100" s="41" t="str">
        <f>IF(D99='Exh B'!E43,"OK","ERROR")</f>
        <v>OK</v>
      </c>
      <c r="E100" s="49"/>
    </row>
    <row r="101" spans="1:10" x14ac:dyDescent="0.2">
      <c r="C101" s="20"/>
      <c r="D101" s="41"/>
      <c r="E101" s="49"/>
    </row>
    <row r="102" spans="1:10" x14ac:dyDescent="0.2">
      <c r="A102" s="36" t="s">
        <v>588</v>
      </c>
      <c r="B102" s="36"/>
      <c r="C102" s="16"/>
      <c r="D102" s="41"/>
      <c r="E102" s="49"/>
    </row>
    <row r="103" spans="1:10" ht="13.5" x14ac:dyDescent="0.25">
      <c r="B103" t="s">
        <v>589</v>
      </c>
      <c r="C103" s="20"/>
      <c r="D103" s="41">
        <f>'Exh A'!G23+'Exh A'!G37</f>
        <v>0</v>
      </c>
      <c r="E103" s="134"/>
      <c r="F103" s="135" t="s">
        <v>590</v>
      </c>
      <c r="J103" t="s">
        <v>71</v>
      </c>
    </row>
    <row r="104" spans="1:10" ht="23.45" customHeight="1" x14ac:dyDescent="0.25">
      <c r="B104" t="s">
        <v>591</v>
      </c>
      <c r="C104" s="20"/>
      <c r="D104" s="91">
        <v>0</v>
      </c>
      <c r="E104" s="134" t="s">
        <v>592</v>
      </c>
      <c r="F104" s="165" t="s">
        <v>593</v>
      </c>
    </row>
    <row r="105" spans="1:10" ht="25.15" customHeight="1" x14ac:dyDescent="0.25">
      <c r="B105" t="s">
        <v>594</v>
      </c>
      <c r="C105" s="20"/>
      <c r="D105" s="91">
        <v>0</v>
      </c>
      <c r="E105" s="134" t="s">
        <v>595</v>
      </c>
      <c r="F105" s="165" t="s">
        <v>596</v>
      </c>
    </row>
    <row r="106" spans="1:10" x14ac:dyDescent="0.2">
      <c r="B106" t="s">
        <v>597</v>
      </c>
      <c r="C106" s="20"/>
      <c r="D106" s="133">
        <f>SUM(D103:D105)</f>
        <v>0</v>
      </c>
      <c r="E106" s="49"/>
    </row>
    <row r="107" spans="1:10" x14ac:dyDescent="0.2">
      <c r="B107" s="1" t="s">
        <v>598</v>
      </c>
      <c r="C107" s="20"/>
      <c r="D107" s="41" t="str">
        <f>IF(D106='Exh A'!E23+'Exh A'!E37,"OK","ERROR")</f>
        <v>OK</v>
      </c>
      <c r="E107" s="49"/>
    </row>
    <row r="108" spans="1:10" x14ac:dyDescent="0.2">
      <c r="C108" s="20"/>
      <c r="D108" s="41"/>
      <c r="E108" s="49"/>
    </row>
    <row r="109" spans="1:10" x14ac:dyDescent="0.2">
      <c r="A109" s="16" t="s">
        <v>599</v>
      </c>
      <c r="D109" s="24"/>
      <c r="E109" s="49"/>
    </row>
    <row r="110" spans="1:10" x14ac:dyDescent="0.2">
      <c r="A110" s="16"/>
      <c r="B110" t="s">
        <v>600</v>
      </c>
      <c r="D110" s="91">
        <v>0</v>
      </c>
      <c r="E110" s="49" t="s">
        <v>424</v>
      </c>
    </row>
    <row r="111" spans="1:10" x14ac:dyDescent="0.2">
      <c r="A111" s="16"/>
      <c r="B111" t="s">
        <v>601</v>
      </c>
      <c r="D111" s="91">
        <v>0</v>
      </c>
      <c r="E111" s="49" t="s">
        <v>602</v>
      </c>
    </row>
    <row r="112" spans="1:10" x14ac:dyDescent="0.2">
      <c r="B112" t="s">
        <v>603</v>
      </c>
      <c r="D112" s="91">
        <v>0</v>
      </c>
      <c r="E112" s="49" t="s">
        <v>604</v>
      </c>
    </row>
    <row r="113" spans="1:5" x14ac:dyDescent="0.2">
      <c r="B113" t="s">
        <v>605</v>
      </c>
      <c r="D113" s="91">
        <v>0</v>
      </c>
      <c r="E113" s="49" t="s">
        <v>606</v>
      </c>
    </row>
    <row r="114" spans="1:5" x14ac:dyDescent="0.2">
      <c r="B114" t="s">
        <v>607</v>
      </c>
      <c r="D114" s="91">
        <v>0</v>
      </c>
      <c r="E114" s="49" t="s">
        <v>608</v>
      </c>
    </row>
    <row r="115" spans="1:5" x14ac:dyDescent="0.2">
      <c r="B115" t="s">
        <v>609</v>
      </c>
      <c r="D115" s="92">
        <v>0</v>
      </c>
      <c r="E115" s="49" t="s">
        <v>610</v>
      </c>
    </row>
    <row r="116" spans="1:5" x14ac:dyDescent="0.2">
      <c r="C116" t="s">
        <v>402</v>
      </c>
      <c r="D116" s="25">
        <f>D110-D111+D112-D113-D114-D115</f>
        <v>0</v>
      </c>
      <c r="E116" s="49"/>
    </row>
    <row r="117" spans="1:5" x14ac:dyDescent="0.2">
      <c r="C117" s="20" t="s">
        <v>611</v>
      </c>
      <c r="D117" s="41" t="str">
        <f>IF(D116='Exh A'!I22+'Exh A'!I36,"OK","ERROR")</f>
        <v>OK</v>
      </c>
      <c r="E117" s="49"/>
    </row>
    <row r="118" spans="1:5" x14ac:dyDescent="0.2">
      <c r="C118" s="20"/>
      <c r="D118" s="41"/>
      <c r="E118" s="49"/>
    </row>
    <row r="119" spans="1:5" ht="12.75" customHeight="1" x14ac:dyDescent="0.2">
      <c r="A119" s="16" t="s">
        <v>612</v>
      </c>
      <c r="C119" s="20"/>
      <c r="D119" s="41"/>
      <c r="E119" s="49"/>
    </row>
    <row r="120" spans="1:5" ht="12.75" customHeight="1" x14ac:dyDescent="0.2">
      <c r="A120" s="1"/>
      <c r="B120" s="1" t="s">
        <v>613</v>
      </c>
      <c r="C120" s="20"/>
      <c r="D120" s="91">
        <v>0</v>
      </c>
      <c r="E120" s="49" t="s">
        <v>614</v>
      </c>
    </row>
    <row r="121" spans="1:5" ht="12.75" customHeight="1" x14ac:dyDescent="0.2">
      <c r="B121" s="1" t="s">
        <v>615</v>
      </c>
      <c r="C121" s="20"/>
      <c r="D121" s="92">
        <v>0</v>
      </c>
      <c r="E121" s="49"/>
    </row>
    <row r="122" spans="1:5" ht="12.75" customHeight="1" x14ac:dyDescent="0.2">
      <c r="B122" s="1"/>
      <c r="C122" s="20" t="s">
        <v>616</v>
      </c>
      <c r="D122" s="25">
        <f>SUM(D120:D121)</f>
        <v>0</v>
      </c>
      <c r="E122" s="49"/>
    </row>
    <row r="123" spans="1:5" ht="12.75" customHeight="1" x14ac:dyDescent="0.2">
      <c r="C123" s="20"/>
      <c r="D123" s="41" t="str">
        <f>IF(D122='Exh A'!E48,"OK","ERROR")</f>
        <v>OK</v>
      </c>
      <c r="E123" s="49"/>
    </row>
    <row r="124" spans="1:5" ht="12.75" customHeight="1" x14ac:dyDescent="0.2">
      <c r="A124" s="16" t="s">
        <v>617</v>
      </c>
      <c r="C124" s="20"/>
      <c r="D124" s="41"/>
      <c r="E124" s="49"/>
    </row>
    <row r="125" spans="1:5" ht="12.75" customHeight="1" x14ac:dyDescent="0.2">
      <c r="A125" s="1"/>
      <c r="B125" s="1" t="s">
        <v>613</v>
      </c>
      <c r="C125" s="20"/>
      <c r="D125" s="91">
        <v>0</v>
      </c>
      <c r="E125" s="49" t="s">
        <v>618</v>
      </c>
    </row>
    <row r="126" spans="1:5" ht="12.75" customHeight="1" x14ac:dyDescent="0.2">
      <c r="B126" s="1" t="s">
        <v>619</v>
      </c>
      <c r="C126" s="20"/>
      <c r="D126" s="92">
        <v>0</v>
      </c>
      <c r="E126" s="49"/>
    </row>
    <row r="127" spans="1:5" ht="12.75" customHeight="1" x14ac:dyDescent="0.2">
      <c r="B127" s="1"/>
      <c r="C127" s="20" t="s">
        <v>616</v>
      </c>
      <c r="D127" s="25">
        <f>SUM(D125:D126)</f>
        <v>0</v>
      </c>
      <c r="E127" s="49"/>
    </row>
    <row r="128" spans="1:5" ht="12.75" customHeight="1" x14ac:dyDescent="0.2">
      <c r="C128" s="20"/>
      <c r="D128" s="41" t="str">
        <f>IF(D127='Exh A'!E49,"OK","ERROR")</f>
        <v>OK</v>
      </c>
      <c r="E128" s="49"/>
    </row>
    <row r="129" spans="1:6" ht="12.75" customHeight="1" x14ac:dyDescent="0.2">
      <c r="C129" s="20"/>
      <c r="D129" s="41"/>
      <c r="E129" s="49"/>
    </row>
    <row r="130" spans="1:6" ht="12.75" customHeight="1" x14ac:dyDescent="0.2">
      <c r="A130" s="16" t="s">
        <v>620</v>
      </c>
      <c r="C130" s="20"/>
      <c r="D130" s="41"/>
      <c r="E130" s="49"/>
    </row>
    <row r="131" spans="1:6" ht="12.75" customHeight="1" x14ac:dyDescent="0.25">
      <c r="B131" s="1" t="s">
        <v>621</v>
      </c>
      <c r="C131" s="20"/>
      <c r="D131" s="91">
        <v>0</v>
      </c>
      <c r="E131" s="134" t="s">
        <v>622</v>
      </c>
      <c r="F131" s="135" t="s">
        <v>623</v>
      </c>
    </row>
    <row r="132" spans="1:6" ht="12.75" customHeight="1" x14ac:dyDescent="0.25">
      <c r="B132" s="1" t="s">
        <v>624</v>
      </c>
      <c r="C132" s="20"/>
      <c r="D132" s="91">
        <v>0</v>
      </c>
      <c r="E132" s="134" t="s">
        <v>625</v>
      </c>
      <c r="F132" s="135" t="s">
        <v>626</v>
      </c>
    </row>
    <row r="133" spans="1:6" ht="12.75" customHeight="1" x14ac:dyDescent="0.25">
      <c r="B133" t="s">
        <v>627</v>
      </c>
      <c r="C133" s="20"/>
      <c r="D133" s="91">
        <v>0</v>
      </c>
      <c r="E133" s="134" t="s">
        <v>71</v>
      </c>
      <c r="F133" s="135" t="s">
        <v>626</v>
      </c>
    </row>
    <row r="134" spans="1:6" ht="12.75" customHeight="1" x14ac:dyDescent="0.25">
      <c r="B134" s="180" t="s">
        <v>1009</v>
      </c>
      <c r="C134" s="180"/>
      <c r="D134" s="91">
        <v>0</v>
      </c>
      <c r="E134" s="134"/>
      <c r="F134" s="135" t="s">
        <v>623</v>
      </c>
    </row>
    <row r="135" spans="1:6" ht="12.75" customHeight="1" x14ac:dyDescent="0.2">
      <c r="C135" s="20" t="s">
        <v>628</v>
      </c>
      <c r="D135" s="132">
        <f>SUM(D131:D134)</f>
        <v>0</v>
      </c>
      <c r="E135" s="49"/>
    </row>
    <row r="136" spans="1:6" ht="12.75" customHeight="1" x14ac:dyDescent="0.2">
      <c r="C136" s="20"/>
      <c r="D136" s="41" t="str">
        <f t="array" ref="D136">IF(D135=A_7,"OK","ERROR")</f>
        <v>OK</v>
      </c>
      <c r="E136" s="49"/>
    </row>
    <row r="137" spans="1:6" ht="12.75" customHeight="1" x14ac:dyDescent="0.2">
      <c r="A137" s="16" t="s">
        <v>629</v>
      </c>
      <c r="C137" s="20"/>
      <c r="D137" s="41"/>
      <c r="E137" s="49"/>
    </row>
    <row r="138" spans="1:6" ht="12.75" customHeight="1" x14ac:dyDescent="0.25">
      <c r="B138" s="1" t="s">
        <v>630</v>
      </c>
      <c r="C138" s="20"/>
      <c r="D138" s="91">
        <v>0</v>
      </c>
      <c r="E138" s="134" t="s">
        <v>631</v>
      </c>
      <c r="F138" s="135" t="s">
        <v>623</v>
      </c>
    </row>
    <row r="139" spans="1:6" ht="12.75" customHeight="1" x14ac:dyDescent="0.25">
      <c r="B139" s="1" t="s">
        <v>632</v>
      </c>
      <c r="C139" s="20"/>
      <c r="D139" s="91">
        <v>0</v>
      </c>
      <c r="E139" s="134" t="s">
        <v>633</v>
      </c>
      <c r="F139" s="135" t="s">
        <v>626</v>
      </c>
    </row>
    <row r="140" spans="1:6" ht="12.75" customHeight="1" x14ac:dyDescent="0.25">
      <c r="B140" s="1" t="s">
        <v>634</v>
      </c>
      <c r="C140" s="20"/>
      <c r="D140" s="91">
        <v>0</v>
      </c>
      <c r="E140" s="134" t="s">
        <v>71</v>
      </c>
      <c r="F140" s="135" t="s">
        <v>626</v>
      </c>
    </row>
    <row r="141" spans="1:6" ht="12.75" customHeight="1" x14ac:dyDescent="0.2">
      <c r="C141" s="20" t="s">
        <v>635</v>
      </c>
      <c r="D141" s="132">
        <f>SUM(D138:D140)</f>
        <v>0</v>
      </c>
      <c r="E141" s="49"/>
    </row>
    <row r="142" spans="1:6" ht="12.75" customHeight="1" x14ac:dyDescent="0.2">
      <c r="C142" s="20"/>
      <c r="D142" s="41" t="str">
        <f>IF(D141=A_8,"OK","ERROR")</f>
        <v>OK</v>
      </c>
      <c r="E142" s="49"/>
    </row>
    <row r="143" spans="1:6" ht="12.75" customHeight="1" x14ac:dyDescent="0.2"/>
    <row r="144" spans="1:6" ht="12.75" customHeight="1" x14ac:dyDescent="0.2">
      <c r="A144" s="36" t="s">
        <v>1034</v>
      </c>
      <c r="C144" s="20"/>
      <c r="D144" s="41"/>
      <c r="E144" s="49"/>
    </row>
    <row r="145" spans="1:6" ht="12.75" customHeight="1" x14ac:dyDescent="0.25">
      <c r="A145" s="1"/>
      <c r="B145" s="1" t="s">
        <v>636</v>
      </c>
      <c r="C145" s="20"/>
      <c r="D145" s="92">
        <v>0</v>
      </c>
      <c r="E145" s="49" t="s">
        <v>637</v>
      </c>
      <c r="F145" s="95" t="s">
        <v>638</v>
      </c>
    </row>
    <row r="146" spans="1:6" ht="12.75" customHeight="1" x14ac:dyDescent="0.25">
      <c r="A146" s="1"/>
      <c r="B146" s="1" t="s">
        <v>639</v>
      </c>
      <c r="C146" s="20"/>
      <c r="D146" s="105">
        <v>0</v>
      </c>
      <c r="E146" s="49" t="s">
        <v>640</v>
      </c>
      <c r="F146" s="95"/>
    </row>
    <row r="147" spans="1:6" ht="12.75" customHeight="1" x14ac:dyDescent="0.25">
      <c r="A147" s="1"/>
      <c r="B147" s="1" t="s">
        <v>641</v>
      </c>
      <c r="C147" s="20"/>
      <c r="D147" s="105">
        <v>0</v>
      </c>
      <c r="E147" s="49" t="s">
        <v>642</v>
      </c>
      <c r="F147" s="95"/>
    </row>
    <row r="148" spans="1:6" ht="12.75" customHeight="1" x14ac:dyDescent="0.2">
      <c r="C148" s="20"/>
      <c r="D148" s="41" t="str">
        <f>IF(D145&gt;0,"OK","ERROR")</f>
        <v>ERROR</v>
      </c>
      <c r="E148" s="49"/>
    </row>
    <row r="149" spans="1:6" ht="12.75" customHeight="1" x14ac:dyDescent="0.2">
      <c r="C149" s="20"/>
      <c r="D149" s="41"/>
      <c r="E149" s="49"/>
    </row>
    <row r="150" spans="1:6" ht="12.75" customHeight="1" x14ac:dyDescent="0.2">
      <c r="A150" s="36" t="s">
        <v>643</v>
      </c>
      <c r="C150" s="20"/>
      <c r="D150" s="41"/>
      <c r="E150" s="49"/>
    </row>
    <row r="151" spans="1:6" ht="12.75" customHeight="1" x14ac:dyDescent="0.25">
      <c r="A151" s="1"/>
      <c r="B151" s="1" t="s">
        <v>644</v>
      </c>
      <c r="C151" s="20"/>
      <c r="D151" s="92">
        <v>0</v>
      </c>
      <c r="E151" s="49" t="s">
        <v>645</v>
      </c>
      <c r="F151" s="95" t="s">
        <v>638</v>
      </c>
    </row>
    <row r="152" spans="1:6" ht="12.75" customHeight="1" x14ac:dyDescent="0.25">
      <c r="A152" s="1"/>
      <c r="B152" s="1" t="s">
        <v>646</v>
      </c>
      <c r="C152" s="20"/>
      <c r="D152" s="105">
        <v>0</v>
      </c>
      <c r="E152" s="49" t="s">
        <v>647</v>
      </c>
      <c r="F152" s="95"/>
    </row>
    <row r="153" spans="1:6" ht="12.75" customHeight="1" x14ac:dyDescent="0.25">
      <c r="A153" s="1"/>
      <c r="B153" s="1" t="s">
        <v>648</v>
      </c>
      <c r="C153" s="20"/>
      <c r="D153" s="105">
        <v>0</v>
      </c>
      <c r="E153" s="49" t="s">
        <v>649</v>
      </c>
      <c r="F153" s="95"/>
    </row>
    <row r="154" spans="1:6" ht="12.75" customHeight="1" x14ac:dyDescent="0.25">
      <c r="A154" s="1"/>
      <c r="B154" s="1" t="s">
        <v>650</v>
      </c>
      <c r="C154" s="20"/>
      <c r="D154" s="105">
        <v>0</v>
      </c>
      <c r="E154" s="49" t="s">
        <v>651</v>
      </c>
      <c r="F154" s="95"/>
    </row>
    <row r="155" spans="1:6" ht="12.75" customHeight="1" x14ac:dyDescent="0.2">
      <c r="C155" s="20"/>
      <c r="D155" s="41" t="str">
        <f>IF(D151&lt;&gt;0,"OK","ERROR")</f>
        <v>ERROR</v>
      </c>
      <c r="E155" s="49"/>
    </row>
    <row r="156" spans="1:6" ht="12.75" customHeight="1" x14ac:dyDescent="0.2">
      <c r="A156" s="16" t="s">
        <v>652</v>
      </c>
      <c r="C156" s="20"/>
      <c r="D156" s="41"/>
      <c r="E156" s="49"/>
    </row>
    <row r="157" spans="1:6" ht="12.75" customHeight="1" x14ac:dyDescent="0.2">
      <c r="B157" s="1" t="s">
        <v>653</v>
      </c>
      <c r="C157" s="20"/>
      <c r="D157" s="91">
        <v>0</v>
      </c>
      <c r="E157" s="49" t="s">
        <v>654</v>
      </c>
    </row>
    <row r="158" spans="1:6" ht="12.75" customHeight="1" x14ac:dyDescent="0.2">
      <c r="B158" s="1" t="s">
        <v>655</v>
      </c>
      <c r="C158" s="20"/>
      <c r="D158" s="91">
        <v>0</v>
      </c>
      <c r="E158" s="49" t="s">
        <v>656</v>
      </c>
    </row>
    <row r="159" spans="1:6" ht="12.75" customHeight="1" x14ac:dyDescent="0.2">
      <c r="B159" s="1" t="s">
        <v>657</v>
      </c>
      <c r="C159" s="20"/>
      <c r="D159" s="92">
        <v>0</v>
      </c>
      <c r="E159" s="49" t="s">
        <v>658</v>
      </c>
    </row>
    <row r="160" spans="1:6" ht="12.75" customHeight="1" x14ac:dyDescent="0.2">
      <c r="B160" s="1"/>
      <c r="C160" t="s">
        <v>402</v>
      </c>
      <c r="D160" s="25">
        <f>D157-D158+D159</f>
        <v>0</v>
      </c>
      <c r="E160" s="49"/>
    </row>
    <row r="161" spans="1:5" ht="12.75" customHeight="1" x14ac:dyDescent="0.2">
      <c r="C161" s="20" t="s">
        <v>566</v>
      </c>
      <c r="D161" s="41" t="str">
        <f>IF(D160='Exh A'!I58+'Exh A'!I63,"OK","ERROR")</f>
        <v>OK</v>
      </c>
      <c r="E161" s="49"/>
    </row>
    <row r="162" spans="1:5" ht="6" customHeight="1" x14ac:dyDescent="0.2">
      <c r="C162" s="20"/>
      <c r="D162" s="41"/>
      <c r="E162" s="49"/>
    </row>
    <row r="163" spans="1:5" x14ac:dyDescent="0.2">
      <c r="A163" s="16" t="s">
        <v>659</v>
      </c>
      <c r="C163" s="20"/>
      <c r="D163" s="41"/>
      <c r="E163" s="49"/>
    </row>
    <row r="164" spans="1:5" x14ac:dyDescent="0.2">
      <c r="A164" s="20" t="s">
        <v>660</v>
      </c>
      <c r="C164" s="20"/>
      <c r="D164" s="41"/>
      <c r="E164" s="49"/>
    </row>
    <row r="165" spans="1:5" x14ac:dyDescent="0.2">
      <c r="B165" t="s">
        <v>661</v>
      </c>
      <c r="C165" s="20"/>
      <c r="D165" s="91">
        <v>0</v>
      </c>
      <c r="E165" s="49" t="s">
        <v>428</v>
      </c>
    </row>
    <row r="166" spans="1:5" x14ac:dyDescent="0.2">
      <c r="B166" s="1" t="s">
        <v>662</v>
      </c>
      <c r="C166" s="20"/>
      <c r="D166" s="92">
        <v>0</v>
      </c>
      <c r="E166" s="49" t="s">
        <v>395</v>
      </c>
    </row>
    <row r="167" spans="1:5" x14ac:dyDescent="0.2">
      <c r="C167" s="1" t="s">
        <v>402</v>
      </c>
      <c r="D167" s="26">
        <f>SUM(D165:D166)</f>
        <v>0</v>
      </c>
      <c r="E167" s="49"/>
    </row>
    <row r="168" spans="1:5" x14ac:dyDescent="0.2">
      <c r="C168" s="20" t="s">
        <v>577</v>
      </c>
      <c r="D168" s="41" t="str">
        <f>IF(D167='Exh B'!E52,"OK","ERROR")</f>
        <v>OK</v>
      </c>
      <c r="E168" s="49"/>
    </row>
    <row r="169" spans="1:5" ht="6" customHeight="1" x14ac:dyDescent="0.2">
      <c r="C169" s="20"/>
      <c r="D169" s="41"/>
      <c r="E169" s="49"/>
    </row>
    <row r="170" spans="1:5" x14ac:dyDescent="0.2">
      <c r="A170" s="16" t="s">
        <v>663</v>
      </c>
      <c r="C170" s="20"/>
      <c r="D170" s="41"/>
      <c r="E170" s="49"/>
    </row>
    <row r="171" spans="1:5" x14ac:dyDescent="0.2">
      <c r="A171" s="20" t="s">
        <v>664</v>
      </c>
      <c r="C171" s="20"/>
      <c r="D171" s="41"/>
      <c r="E171" s="49"/>
    </row>
    <row r="172" spans="1:5" x14ac:dyDescent="0.2">
      <c r="A172" s="20" t="s">
        <v>665</v>
      </c>
      <c r="C172" s="20"/>
      <c r="D172" s="41"/>
      <c r="E172" s="49"/>
    </row>
    <row r="173" spans="1:5" x14ac:dyDescent="0.2">
      <c r="B173" t="s">
        <v>666</v>
      </c>
      <c r="C173" s="20"/>
      <c r="D173" s="91">
        <v>0</v>
      </c>
      <c r="E173" s="49" t="s">
        <v>667</v>
      </c>
    </row>
    <row r="174" spans="1:5" x14ac:dyDescent="0.2">
      <c r="B174" t="s">
        <v>668</v>
      </c>
      <c r="C174" s="20"/>
      <c r="D174" s="92">
        <v>0</v>
      </c>
      <c r="E174" s="49" t="s">
        <v>669</v>
      </c>
    </row>
    <row r="175" spans="1:5" ht="12.75" customHeight="1" x14ac:dyDescent="0.2">
      <c r="C175" s="1" t="s">
        <v>402</v>
      </c>
      <c r="D175" s="25">
        <f>SUM(D173:D174)</f>
        <v>0</v>
      </c>
      <c r="E175" s="49"/>
    </row>
    <row r="176" spans="1:5" ht="15" customHeight="1" x14ac:dyDescent="0.2">
      <c r="C176" s="20" t="s">
        <v>577</v>
      </c>
      <c r="D176" s="41" t="str">
        <f>IF(D175='Exh B'!E53,"OK","ERROR")</f>
        <v>OK</v>
      </c>
      <c r="E176" s="49"/>
    </row>
    <row r="177" spans="1:6" ht="15" customHeight="1" x14ac:dyDescent="0.2">
      <c r="C177" s="20"/>
      <c r="D177" s="41"/>
      <c r="E177" s="49"/>
    </row>
    <row r="178" spans="1:6" ht="15" customHeight="1" x14ac:dyDescent="0.2">
      <c r="A178" s="16" t="s">
        <v>670</v>
      </c>
      <c r="C178" s="20"/>
      <c r="D178" s="41"/>
      <c r="E178" s="49"/>
    </row>
    <row r="179" spans="1:6" ht="15" customHeight="1" x14ac:dyDescent="0.25">
      <c r="B179" s="1" t="s">
        <v>671</v>
      </c>
      <c r="C179" s="20"/>
      <c r="D179" s="92">
        <v>0</v>
      </c>
      <c r="E179" s="49"/>
      <c r="F179" s="95" t="s">
        <v>672</v>
      </c>
    </row>
    <row r="180" spans="1:6" ht="15" customHeight="1" x14ac:dyDescent="0.2">
      <c r="C180" s="20"/>
      <c r="D180" s="91"/>
      <c r="E180" s="49"/>
    </row>
    <row r="181" spans="1:6" ht="15" customHeight="1" x14ac:dyDescent="0.2">
      <c r="A181" s="103" t="s">
        <v>673</v>
      </c>
      <c r="D181" s="91"/>
      <c r="E181" s="49"/>
    </row>
    <row r="182" spans="1:6" ht="15" customHeight="1" x14ac:dyDescent="0.2">
      <c r="A182" s="57" t="s">
        <v>674</v>
      </c>
      <c r="B182" s="102" t="s">
        <v>675</v>
      </c>
      <c r="D182" s="91"/>
      <c r="E182" s="49"/>
    </row>
    <row r="183" spans="1:6" ht="15" customHeight="1" x14ac:dyDescent="0.2">
      <c r="B183" s="102" t="s">
        <v>676</v>
      </c>
      <c r="D183" s="91"/>
      <c r="E183" s="49"/>
    </row>
    <row r="184" spans="1:6" ht="15" customHeight="1" x14ac:dyDescent="0.2">
      <c r="B184" s="102" t="s">
        <v>677</v>
      </c>
      <c r="D184" s="91"/>
      <c r="E184" s="49"/>
    </row>
    <row r="185" spans="1:6" ht="15" customHeight="1" x14ac:dyDescent="0.2">
      <c r="B185" s="102" t="s">
        <v>678</v>
      </c>
      <c r="D185" s="91"/>
      <c r="E185" s="49"/>
    </row>
    <row r="186" spans="1:6" ht="15" customHeight="1" x14ac:dyDescent="0.2">
      <c r="B186" s="102" t="s">
        <v>679</v>
      </c>
      <c r="D186" s="91"/>
      <c r="E186" s="49"/>
    </row>
    <row r="187" spans="1:6" ht="15" customHeight="1" x14ac:dyDescent="0.2">
      <c r="B187" s="102" t="s">
        <v>680</v>
      </c>
      <c r="D187" s="91"/>
      <c r="E187" s="49"/>
    </row>
    <row r="188" spans="1:6" ht="15" customHeight="1" x14ac:dyDescent="0.2">
      <c r="B188" s="102" t="s">
        <v>681</v>
      </c>
      <c r="D188" s="91"/>
      <c r="E188" s="49"/>
    </row>
    <row r="189" spans="1:6" ht="15" customHeight="1" x14ac:dyDescent="0.2">
      <c r="D189" s="91"/>
      <c r="E189" s="49"/>
    </row>
    <row r="190" spans="1:6" ht="15" customHeight="1" x14ac:dyDescent="0.2">
      <c r="B190" s="16" t="s">
        <v>682</v>
      </c>
      <c r="C190" s="20"/>
      <c r="D190" s="41"/>
      <c r="E190" s="49"/>
    </row>
    <row r="191" spans="1:6" ht="12.75" customHeight="1" x14ac:dyDescent="0.2">
      <c r="B191" s="16"/>
      <c r="C191" s="20"/>
      <c r="D191" s="41"/>
      <c r="E191" s="49"/>
    </row>
    <row r="192" spans="1:6" ht="12.75" customHeight="1" x14ac:dyDescent="0.2">
      <c r="A192" s="183" t="s">
        <v>683</v>
      </c>
      <c r="B192" s="183"/>
      <c r="C192" s="183"/>
      <c r="D192" s="41"/>
      <c r="E192" s="49"/>
    </row>
    <row r="193" spans="1:5" x14ac:dyDescent="0.2">
      <c r="E193" s="49"/>
    </row>
    <row r="194" spans="1:5" x14ac:dyDescent="0.2">
      <c r="A194" s="16" t="s">
        <v>684</v>
      </c>
      <c r="C194" s="16"/>
    </row>
    <row r="196" spans="1:5" x14ac:dyDescent="0.2">
      <c r="A196" s="45" t="s">
        <v>86</v>
      </c>
    </row>
    <row r="197" spans="1:5" x14ac:dyDescent="0.2">
      <c r="A197" s="45"/>
      <c r="B197" t="s">
        <v>479</v>
      </c>
    </row>
    <row r="198" spans="1:5" x14ac:dyDescent="0.2">
      <c r="A198" s="45"/>
      <c r="C198" t="s">
        <v>685</v>
      </c>
    </row>
    <row r="199" spans="1:5" x14ac:dyDescent="0.2">
      <c r="B199" s="1" t="s">
        <v>686</v>
      </c>
      <c r="C199" s="20"/>
    </row>
    <row r="200" spans="1:5" x14ac:dyDescent="0.2">
      <c r="C200" s="1" t="s">
        <v>687</v>
      </c>
    </row>
    <row r="201" spans="1:5" x14ac:dyDescent="0.2">
      <c r="B201" s="1" t="s">
        <v>483</v>
      </c>
      <c r="C201" s="20"/>
    </row>
    <row r="202" spans="1:5" x14ac:dyDescent="0.2">
      <c r="C202" s="1" t="s">
        <v>688</v>
      </c>
    </row>
    <row r="203" spans="1:5" x14ac:dyDescent="0.2">
      <c r="B203" t="s">
        <v>689</v>
      </c>
      <c r="C203" s="1"/>
    </row>
    <row r="204" spans="1:5" x14ac:dyDescent="0.2">
      <c r="C204" s="1" t="s">
        <v>690</v>
      </c>
    </row>
    <row r="205" spans="1:5" x14ac:dyDescent="0.2">
      <c r="B205" s="1" t="s">
        <v>487</v>
      </c>
    </row>
    <row r="206" spans="1:5" x14ac:dyDescent="0.2">
      <c r="C206" t="s">
        <v>691</v>
      </c>
    </row>
    <row r="207" spans="1:5" x14ac:dyDescent="0.2">
      <c r="A207" s="16"/>
      <c r="B207" t="s">
        <v>692</v>
      </c>
    </row>
    <row r="208" spans="1:5" x14ac:dyDescent="0.2">
      <c r="C208" t="s">
        <v>693</v>
      </c>
    </row>
    <row r="209" spans="1:4" x14ac:dyDescent="0.2">
      <c r="B209" s="1" t="s">
        <v>694</v>
      </c>
    </row>
    <row r="210" spans="1:4" x14ac:dyDescent="0.2">
      <c r="C210" t="s">
        <v>693</v>
      </c>
      <c r="D210" s="36"/>
    </row>
    <row r="211" spans="1:4" x14ac:dyDescent="0.2">
      <c r="B211" s="1" t="s">
        <v>695</v>
      </c>
    </row>
    <row r="212" spans="1:4" x14ac:dyDescent="0.2">
      <c r="C212" t="s">
        <v>696</v>
      </c>
    </row>
    <row r="213" spans="1:4" x14ac:dyDescent="0.2">
      <c r="B213" s="1" t="s">
        <v>697</v>
      </c>
    </row>
    <row r="214" spans="1:4" x14ac:dyDescent="0.2">
      <c r="C214" t="s">
        <v>698</v>
      </c>
    </row>
    <row r="216" spans="1:4" x14ac:dyDescent="0.2">
      <c r="A216" s="45" t="s">
        <v>87</v>
      </c>
    </row>
    <row r="217" spans="1:4" x14ac:dyDescent="0.2">
      <c r="B217" t="s">
        <v>699</v>
      </c>
    </row>
    <row r="219" spans="1:4" x14ac:dyDescent="0.2">
      <c r="A219" s="45" t="s">
        <v>700</v>
      </c>
    </row>
    <row r="220" spans="1:4" x14ac:dyDescent="0.2">
      <c r="B220" t="s">
        <v>693</v>
      </c>
    </row>
    <row r="222" spans="1:4" x14ac:dyDescent="0.2">
      <c r="A222" s="45" t="s">
        <v>701</v>
      </c>
    </row>
    <row r="223" spans="1:4" x14ac:dyDescent="0.2">
      <c r="B223" t="s">
        <v>696</v>
      </c>
    </row>
    <row r="225" spans="1:6" x14ac:dyDescent="0.2">
      <c r="A225" s="45" t="s">
        <v>702</v>
      </c>
    </row>
    <row r="226" spans="1:6" x14ac:dyDescent="0.2">
      <c r="B226" t="s">
        <v>691</v>
      </c>
    </row>
    <row r="228" spans="1:6" x14ac:dyDescent="0.2">
      <c r="A228" s="16" t="s">
        <v>703</v>
      </c>
      <c r="C228" s="16"/>
    </row>
    <row r="229" spans="1:6" ht="9.9499999999999993" customHeight="1" x14ac:dyDescent="0.2"/>
    <row r="230" spans="1:6" x14ac:dyDescent="0.2">
      <c r="A230" s="45" t="s">
        <v>119</v>
      </c>
    </row>
    <row r="231" spans="1:6" x14ac:dyDescent="0.2">
      <c r="B231" s="1" t="s">
        <v>527</v>
      </c>
    </row>
    <row r="232" spans="1:6" x14ac:dyDescent="0.2">
      <c r="C232" t="s">
        <v>704</v>
      </c>
    </row>
    <row r="233" spans="1:6" x14ac:dyDescent="0.2">
      <c r="B233" s="1" t="s">
        <v>705</v>
      </c>
    </row>
    <row r="234" spans="1:6" x14ac:dyDescent="0.2">
      <c r="C234" t="s">
        <v>706</v>
      </c>
    </row>
    <row r="235" spans="1:6" x14ac:dyDescent="0.2">
      <c r="B235" s="1" t="s">
        <v>531</v>
      </c>
    </row>
    <row r="236" spans="1:6" x14ac:dyDescent="0.2">
      <c r="C236" t="s">
        <v>707</v>
      </c>
    </row>
    <row r="237" spans="1:6" x14ac:dyDescent="0.2">
      <c r="B237" s="1" t="s">
        <v>533</v>
      </c>
    </row>
    <row r="238" spans="1:6" x14ac:dyDescent="0.2">
      <c r="C238" t="s">
        <v>706</v>
      </c>
    </row>
    <row r="239" spans="1:6" x14ac:dyDescent="0.2">
      <c r="B239" s="1" t="s">
        <v>708</v>
      </c>
    </row>
    <row r="240" spans="1:6" x14ac:dyDescent="0.2">
      <c r="C240" t="s">
        <v>709</v>
      </c>
      <c r="F240" s="36"/>
    </row>
    <row r="241" spans="1:3" x14ac:dyDescent="0.2">
      <c r="B241" s="1" t="s">
        <v>710</v>
      </c>
    </row>
    <row r="242" spans="1:3" x14ac:dyDescent="0.2">
      <c r="C242" t="s">
        <v>709</v>
      </c>
    </row>
    <row r="243" spans="1:3" x14ac:dyDescent="0.2">
      <c r="B243" s="1" t="s">
        <v>543</v>
      </c>
    </row>
    <row r="244" spans="1:3" x14ac:dyDescent="0.2">
      <c r="C244" t="s">
        <v>711</v>
      </c>
    </row>
    <row r="245" spans="1:3" ht="9.9499999999999993" customHeight="1" x14ac:dyDescent="0.2"/>
    <row r="246" spans="1:3" x14ac:dyDescent="0.2">
      <c r="A246" s="45" t="s">
        <v>120</v>
      </c>
    </row>
    <row r="247" spans="1:3" x14ac:dyDescent="0.2">
      <c r="B247" t="s">
        <v>704</v>
      </c>
    </row>
    <row r="248" spans="1:3" ht="9.9499999999999993" customHeight="1" x14ac:dyDescent="0.2"/>
    <row r="249" spans="1:3" x14ac:dyDescent="0.2">
      <c r="A249" s="45" t="s">
        <v>712</v>
      </c>
    </row>
    <row r="250" spans="1:3" x14ac:dyDescent="0.2">
      <c r="B250" t="s">
        <v>704</v>
      </c>
    </row>
    <row r="251" spans="1:3" ht="9.9499999999999993" customHeight="1" x14ac:dyDescent="0.2"/>
    <row r="252" spans="1:3" x14ac:dyDescent="0.2">
      <c r="A252" s="45" t="s">
        <v>713</v>
      </c>
    </row>
    <row r="253" spans="1:3" x14ac:dyDescent="0.2">
      <c r="B253" t="s">
        <v>714</v>
      </c>
    </row>
    <row r="254" spans="1:3" ht="9.9499999999999993" customHeight="1" x14ac:dyDescent="0.2"/>
    <row r="255" spans="1:3" x14ac:dyDescent="0.2">
      <c r="A255" s="45" t="s">
        <v>125</v>
      </c>
    </row>
    <row r="256" spans="1:3" x14ac:dyDescent="0.2">
      <c r="B256" t="s">
        <v>714</v>
      </c>
    </row>
    <row r="257" spans="1:2" ht="9.9499999999999993" customHeight="1" x14ac:dyDescent="0.2"/>
    <row r="258" spans="1:2" x14ac:dyDescent="0.2">
      <c r="A258" s="45" t="s">
        <v>441</v>
      </c>
    </row>
    <row r="259" spans="1:2" x14ac:dyDescent="0.2">
      <c r="B259" t="s">
        <v>715</v>
      </c>
    </row>
    <row r="260" spans="1:2" ht="9.9499999999999993" customHeight="1" x14ac:dyDescent="0.2"/>
    <row r="261" spans="1:2" x14ac:dyDescent="0.2">
      <c r="A261" s="45" t="s">
        <v>453</v>
      </c>
    </row>
    <row r="262" spans="1:2" x14ac:dyDescent="0.2">
      <c r="A262" s="1"/>
      <c r="B262" s="1" t="s">
        <v>716</v>
      </c>
    </row>
    <row r="264" spans="1:2" x14ac:dyDescent="0.2">
      <c r="A264" s="16" t="s">
        <v>717</v>
      </c>
    </row>
    <row r="266" spans="1:2" x14ac:dyDescent="0.2">
      <c r="A266" s="45" t="s">
        <v>90</v>
      </c>
    </row>
    <row r="267" spans="1:2" x14ac:dyDescent="0.2">
      <c r="B267" t="s">
        <v>691</v>
      </c>
    </row>
    <row r="268" spans="1:2" x14ac:dyDescent="0.2">
      <c r="B268" s="20" t="s">
        <v>718</v>
      </c>
    </row>
    <row r="270" spans="1:2" x14ac:dyDescent="0.2">
      <c r="A270" s="45" t="s">
        <v>92</v>
      </c>
    </row>
    <row r="271" spans="1:2" x14ac:dyDescent="0.2">
      <c r="B271" t="s">
        <v>691</v>
      </c>
    </row>
    <row r="273" spans="1:2" x14ac:dyDescent="0.2">
      <c r="A273" s="45" t="s">
        <v>719</v>
      </c>
    </row>
    <row r="274" spans="1:2" x14ac:dyDescent="0.2">
      <c r="B274" t="s">
        <v>720</v>
      </c>
    </row>
    <row r="276" spans="1:2" x14ac:dyDescent="0.2">
      <c r="A276" s="45" t="s">
        <v>721</v>
      </c>
    </row>
    <row r="277" spans="1:2" x14ac:dyDescent="0.2">
      <c r="B277" t="s">
        <v>722</v>
      </c>
    </row>
    <row r="279" spans="1:2" x14ac:dyDescent="0.2">
      <c r="A279" s="45" t="s">
        <v>298</v>
      </c>
    </row>
    <row r="280" spans="1:2" x14ac:dyDescent="0.2">
      <c r="B280" t="s">
        <v>723</v>
      </c>
    </row>
    <row r="283" spans="1:2" x14ac:dyDescent="0.2">
      <c r="A283" s="36" t="s">
        <v>724</v>
      </c>
    </row>
    <row r="284" spans="1:2" x14ac:dyDescent="0.2">
      <c r="A284" s="36" t="s">
        <v>725</v>
      </c>
    </row>
  </sheetData>
  <sheetProtection algorithmName="SHA-512" hashValue="CpSkGPgmfiLGY4T71DiVTqSGD+ZGyJu9SWVBJ4rJswcN1VtabqE4JVRYpMWjQAuLkCA970vt58jfGhu6ENXLeg==" saltValue="ldXWhuY6xcnw8peUccwjiQ==" spinCount="100000" sheet="1" autoFilter="0"/>
  <mergeCells count="1">
    <mergeCell ref="A192:C192"/>
  </mergeCells>
  <phoneticPr fontId="0" type="noConversion"/>
  <conditionalFormatting sqref="D176:D177 D168:D172 D160:D164 D86 D100:D103 D76:D78 D92:D94 D117:D119 D57 D25 D32:D34 F68:F69 F32:F34 D68:D69 F25 F57 D44 F44 D38 F38 D191:D192 D123 D148:D149 D156 D106 D108 D137 D141:D142 D128:D130">
    <cfRule type="cellIs" dxfId="9" priority="8" stopIfTrue="1" operator="equal">
      <formula>"ERROR"</formula>
    </cfRule>
  </conditionalFormatting>
  <conditionalFormatting sqref="E96">
    <cfRule type="cellIs" dxfId="8" priority="9" stopIfTrue="1" operator="equal">
      <formula>"ERROR - does not agree with Exh C"</formula>
    </cfRule>
  </conditionalFormatting>
  <conditionalFormatting sqref="D178 D190">
    <cfRule type="cellIs" dxfId="7" priority="7" stopIfTrue="1" operator="equal">
      <formula>"ERROR"</formula>
    </cfRule>
  </conditionalFormatting>
  <conditionalFormatting sqref="D124 D135:D142 D144">
    <cfRule type="cellIs" dxfId="6" priority="4" stopIfTrue="1" operator="equal">
      <formula>"ERROR"</formula>
    </cfRule>
  </conditionalFormatting>
  <conditionalFormatting sqref="D155 D150">
    <cfRule type="cellIs" dxfId="5" priority="3" stopIfTrue="1" operator="equal">
      <formula>"ERROR"</formula>
    </cfRule>
  </conditionalFormatting>
  <conditionalFormatting sqref="D107">
    <cfRule type="cellIs" dxfId="4" priority="2" stopIfTrue="1" operator="equal">
      <formula>"ERROR"</formula>
    </cfRule>
  </conditionalFormatting>
  <pageMargins left="0.45" right="0.45" top="0.55000000000000004" bottom="0.5" header="0.5" footer="0.3"/>
  <pageSetup scale="75" orientation="landscape" r:id="rId1"/>
  <headerFooter alignWithMargins="0">
    <oddFooter>Page &amp;P of &amp;N</oddFooter>
  </headerFooter>
  <rowBreaks count="6" manualBreakCount="6">
    <brk id="45" max="16383" man="1"/>
    <brk id="77" max="16383" man="1"/>
    <brk id="169" max="16383" man="1"/>
    <brk id="191" max="16383" man="1"/>
    <brk id="227" max="16383" man="1"/>
    <brk id="26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V200"/>
  <sheetViews>
    <sheetView zoomScale="80" zoomScaleNormal="90" workbookViewId="0">
      <selection activeCell="G37" sqref="G37"/>
    </sheetView>
  </sheetViews>
  <sheetFormatPr defaultRowHeight="12.75" x14ac:dyDescent="0.2"/>
  <cols>
    <col min="1" max="3" width="2.7109375" customWidth="1"/>
    <col min="4" max="4" width="67.5703125" customWidth="1"/>
    <col min="5" max="5" width="16.7109375" customWidth="1"/>
    <col min="6" max="6" width="2.140625" customWidth="1"/>
    <col min="7" max="7" width="16.7109375" customWidth="1"/>
    <col min="8" max="8" width="2.140625" customWidth="1"/>
    <col min="9" max="9" width="5.140625" customWidth="1"/>
    <col min="10" max="10" width="2.140625" customWidth="1"/>
    <col min="11" max="11" width="16.7109375" customWidth="1"/>
  </cols>
  <sheetData>
    <row r="1" spans="1:11" x14ac:dyDescent="0.2">
      <c r="A1" s="16" t="str">
        <f>Steps!$E$6</f>
        <v>Name of College</v>
      </c>
      <c r="K1" s="50" t="s">
        <v>726</v>
      </c>
    </row>
    <row r="2" spans="1:11" x14ac:dyDescent="0.2">
      <c r="A2" s="16" t="s">
        <v>1015</v>
      </c>
    </row>
    <row r="3" spans="1:11" ht="9" customHeight="1" thickBot="1" x14ac:dyDescent="0.25">
      <c r="A3" s="37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44" customFormat="1" ht="12.75" customHeight="1" x14ac:dyDescent="0.2"/>
    <row r="5" spans="1:11" x14ac:dyDescent="0.2">
      <c r="E5" s="18" t="s">
        <v>727</v>
      </c>
      <c r="F5" s="18"/>
      <c r="G5" s="18" t="s">
        <v>728</v>
      </c>
      <c r="H5" s="18"/>
      <c r="I5" s="18" t="s">
        <v>729</v>
      </c>
      <c r="J5" s="18"/>
      <c r="K5" s="18" t="s">
        <v>730</v>
      </c>
    </row>
    <row r="6" spans="1:11" ht="6" customHeight="1" x14ac:dyDescent="0.2">
      <c r="E6" s="18"/>
      <c r="F6" s="18"/>
      <c r="G6" s="18"/>
      <c r="H6" s="18"/>
      <c r="I6" s="18"/>
      <c r="J6" s="18"/>
      <c r="K6" s="18"/>
    </row>
    <row r="7" spans="1:11" x14ac:dyDescent="0.2">
      <c r="A7" s="16" t="s">
        <v>731</v>
      </c>
    </row>
    <row r="8" spans="1:11" x14ac:dyDescent="0.2">
      <c r="B8" t="s">
        <v>732</v>
      </c>
      <c r="E8" s="24"/>
      <c r="F8" s="24"/>
      <c r="G8" s="24"/>
      <c r="H8" s="24"/>
    </row>
    <row r="9" spans="1:11" x14ac:dyDescent="0.2">
      <c r="C9" t="s">
        <v>733</v>
      </c>
      <c r="E9" s="25">
        <f>B_1</f>
        <v>0</v>
      </c>
      <c r="F9" s="49"/>
      <c r="G9" s="24"/>
      <c r="H9" s="24"/>
      <c r="I9" s="53" t="s">
        <v>235</v>
      </c>
      <c r="J9" s="22"/>
    </row>
    <row r="10" spans="1:11" x14ac:dyDescent="0.2">
      <c r="C10" t="s">
        <v>236</v>
      </c>
      <c r="E10" s="25">
        <f>B_2</f>
        <v>0</v>
      </c>
      <c r="F10" s="49"/>
      <c r="G10" s="24"/>
      <c r="H10" s="24"/>
      <c r="I10" s="53" t="s">
        <v>237</v>
      </c>
      <c r="J10" s="22"/>
    </row>
    <row r="11" spans="1:11" x14ac:dyDescent="0.2">
      <c r="C11" t="s">
        <v>238</v>
      </c>
      <c r="E11" s="25">
        <f>B_3</f>
        <v>0</v>
      </c>
      <c r="F11" s="49"/>
      <c r="G11" s="24"/>
      <c r="H11" s="24"/>
      <c r="I11" s="53" t="s">
        <v>239</v>
      </c>
      <c r="J11" s="22"/>
    </row>
    <row r="12" spans="1:11" x14ac:dyDescent="0.2">
      <c r="C12" t="s">
        <v>240</v>
      </c>
      <c r="E12" s="25">
        <f>B_4</f>
        <v>0</v>
      </c>
      <c r="F12" s="49"/>
      <c r="G12" s="24"/>
      <c r="H12" s="24"/>
      <c r="I12" s="53" t="s">
        <v>241</v>
      </c>
      <c r="J12" s="22"/>
    </row>
    <row r="13" spans="1:11" x14ac:dyDescent="0.2">
      <c r="C13" t="s">
        <v>242</v>
      </c>
      <c r="E13" s="25">
        <f>B_5</f>
        <v>0</v>
      </c>
      <c r="F13" s="49"/>
      <c r="G13" s="24"/>
      <c r="H13" s="24"/>
      <c r="I13" s="53" t="s">
        <v>243</v>
      </c>
      <c r="J13" s="22"/>
    </row>
    <row r="14" spans="1:11" x14ac:dyDescent="0.2">
      <c r="C14" s="1" t="s">
        <v>244</v>
      </c>
      <c r="E14" s="26">
        <f>B_28</f>
        <v>0</v>
      </c>
      <c r="F14" s="49"/>
      <c r="G14" s="24"/>
      <c r="H14" s="24"/>
      <c r="I14" s="53" t="s">
        <v>245</v>
      </c>
      <c r="J14" s="22"/>
    </row>
    <row r="15" spans="1:11" x14ac:dyDescent="0.2">
      <c r="C15" t="s">
        <v>246</v>
      </c>
      <c r="E15" s="25">
        <f>E_45</f>
        <v>0</v>
      </c>
      <c r="F15" s="49"/>
      <c r="G15" s="24"/>
      <c r="H15" s="24"/>
      <c r="I15" s="53" t="s">
        <v>581</v>
      </c>
      <c r="J15" s="22"/>
    </row>
    <row r="16" spans="1:11" x14ac:dyDescent="0.2">
      <c r="C16" s="1" t="s">
        <v>734</v>
      </c>
      <c r="E16" s="24"/>
      <c r="F16" s="49"/>
      <c r="G16" s="25">
        <f>E_66</f>
        <v>0</v>
      </c>
      <c r="H16" s="24"/>
      <c r="I16" s="53" t="s">
        <v>642</v>
      </c>
      <c r="J16" s="22"/>
    </row>
    <row r="17" spans="2:12" x14ac:dyDescent="0.2">
      <c r="C17" s="1" t="s">
        <v>735</v>
      </c>
      <c r="E17" s="24"/>
      <c r="F17" s="49"/>
      <c r="G17" s="25">
        <f>E_70</f>
        <v>0</v>
      </c>
      <c r="H17" s="24"/>
      <c r="I17" s="53" t="s">
        <v>649</v>
      </c>
      <c r="J17" s="22"/>
    </row>
    <row r="18" spans="2:12" x14ac:dyDescent="0.2">
      <c r="C18" s="1" t="s">
        <v>736</v>
      </c>
      <c r="E18" s="25">
        <f>IF(E_1&lt;0,-E_1,0)</f>
        <v>0</v>
      </c>
      <c r="F18" s="49"/>
      <c r="G18" s="25">
        <f>IF(E_1&gt;0,E_1,0)</f>
        <v>0</v>
      </c>
      <c r="H18" s="24"/>
      <c r="I18" s="53" t="s">
        <v>480</v>
      </c>
      <c r="J18" s="22"/>
    </row>
    <row r="19" spans="2:12" x14ac:dyDescent="0.2">
      <c r="C19" s="1" t="s">
        <v>737</v>
      </c>
      <c r="E19" s="25">
        <f>IF(E_2&lt;0,-E_2,0)</f>
        <v>0</v>
      </c>
      <c r="F19" s="49"/>
      <c r="G19" s="25">
        <f>IF(E_2&gt;0,E_2,0)</f>
        <v>0</v>
      </c>
      <c r="H19" s="24"/>
      <c r="I19" s="53" t="s">
        <v>482</v>
      </c>
      <c r="J19" s="22"/>
    </row>
    <row r="20" spans="2:12" x14ac:dyDescent="0.2">
      <c r="C20" t="s">
        <v>738</v>
      </c>
      <c r="E20" s="25">
        <f>IF(E_9&lt;0,-E_9,0)</f>
        <v>0</v>
      </c>
      <c r="F20" s="49"/>
      <c r="G20" s="25">
        <f>IF(E_9&gt;0,E_9,0)</f>
        <v>0</v>
      </c>
      <c r="H20" s="24"/>
      <c r="I20" s="53" t="s">
        <v>498</v>
      </c>
      <c r="J20" s="22"/>
    </row>
    <row r="21" spans="2:12" x14ac:dyDescent="0.2">
      <c r="C21" s="1" t="s">
        <v>739</v>
      </c>
      <c r="E21" s="25">
        <f>IF(E_30&gt;0,E_30,0)</f>
        <v>0</v>
      </c>
      <c r="F21" s="49"/>
      <c r="G21" s="25">
        <f>IF(E_30&lt;0,-E_30,0)</f>
        <v>0</v>
      </c>
      <c r="H21" s="24"/>
      <c r="I21" s="49" t="s">
        <v>546</v>
      </c>
      <c r="J21" s="22"/>
    </row>
    <row r="22" spans="2:12" ht="13.5" thickBot="1" x14ac:dyDescent="0.25">
      <c r="C22" s="1" t="s">
        <v>740</v>
      </c>
      <c r="E22" s="54">
        <f>IF(E_31&gt;0,E_31,0)</f>
        <v>0</v>
      </c>
      <c r="F22" s="49"/>
      <c r="G22" s="54">
        <f>IF(E_31&lt;0,-E_31,0)</f>
        <v>0</v>
      </c>
      <c r="H22" s="24"/>
      <c r="I22" s="55" t="s">
        <v>548</v>
      </c>
      <c r="J22" s="22"/>
      <c r="K22" s="43">
        <f>SUM(E9:E22)-SUM(G9:G22)</f>
        <v>0</v>
      </c>
      <c r="L22" t="s">
        <v>71</v>
      </c>
    </row>
    <row r="23" spans="2:12" x14ac:dyDescent="0.2">
      <c r="B23" t="s">
        <v>741</v>
      </c>
      <c r="E23" s="24"/>
      <c r="F23" s="49"/>
      <c r="G23" s="24"/>
      <c r="H23" s="24"/>
      <c r="I23" s="49"/>
      <c r="J23" s="22"/>
    </row>
    <row r="24" spans="2:12" x14ac:dyDescent="0.2">
      <c r="C24" s="1" t="s">
        <v>249</v>
      </c>
      <c r="E24" s="24"/>
      <c r="F24" s="49"/>
      <c r="G24" s="25">
        <f>B_6</f>
        <v>0</v>
      </c>
      <c r="H24" s="24"/>
      <c r="I24" s="53" t="s">
        <v>250</v>
      </c>
      <c r="J24" s="22"/>
    </row>
    <row r="25" spans="2:12" x14ac:dyDescent="0.2">
      <c r="C25" s="1" t="s">
        <v>742</v>
      </c>
      <c r="E25" s="25">
        <f>E_64</f>
        <v>0</v>
      </c>
      <c r="F25" s="49"/>
      <c r="G25" s="24"/>
      <c r="H25" s="24"/>
      <c r="I25" s="53" t="s">
        <v>637</v>
      </c>
      <c r="J25" s="22"/>
    </row>
    <row r="26" spans="2:12" x14ac:dyDescent="0.2">
      <c r="C26" s="1" t="s">
        <v>743</v>
      </c>
      <c r="E26" s="24">
        <f>E_68</f>
        <v>0</v>
      </c>
      <c r="F26" s="49"/>
      <c r="G26" s="24"/>
      <c r="H26" s="24"/>
      <c r="I26" s="53" t="s">
        <v>645</v>
      </c>
      <c r="J26" s="22"/>
    </row>
    <row r="27" spans="2:12" x14ac:dyDescent="0.2">
      <c r="C27" s="1" t="s">
        <v>744</v>
      </c>
      <c r="E27" s="24"/>
      <c r="F27" s="49"/>
      <c r="G27" s="25">
        <f>E_63</f>
        <v>0</v>
      </c>
      <c r="H27" s="24"/>
      <c r="I27" s="53" t="s">
        <v>614</v>
      </c>
      <c r="J27" s="22"/>
    </row>
    <row r="28" spans="2:12" x14ac:dyDescent="0.2">
      <c r="C28" s="1" t="s">
        <v>745</v>
      </c>
      <c r="E28" s="24"/>
      <c r="F28" s="49"/>
      <c r="G28" s="25">
        <f>E_67</f>
        <v>0</v>
      </c>
      <c r="H28" s="24"/>
      <c r="I28" s="53" t="s">
        <v>618</v>
      </c>
      <c r="J28" s="22"/>
    </row>
    <row r="29" spans="2:12" x14ac:dyDescent="0.2">
      <c r="C29" s="1" t="s">
        <v>746</v>
      </c>
      <c r="E29" s="25">
        <f>IF(E_23&gt;0,E_23,0)</f>
        <v>0</v>
      </c>
      <c r="F29" s="49"/>
      <c r="G29" s="25">
        <f>IF(E_23&lt;0,-E_23,0)</f>
        <v>0</v>
      </c>
      <c r="H29" s="24"/>
      <c r="I29" s="52" t="s">
        <v>532</v>
      </c>
      <c r="J29" s="22"/>
    </row>
    <row r="30" spans="2:12" ht="13.5" thickBot="1" x14ac:dyDescent="0.25">
      <c r="C30" s="1" t="s">
        <v>747</v>
      </c>
      <c r="E30" s="54">
        <f>IF(D_5&gt;0,D_5,0)</f>
        <v>0</v>
      </c>
      <c r="F30" s="49"/>
      <c r="G30" s="54">
        <f>IF(D_5&lt;0,-D_5,0)</f>
        <v>0</v>
      </c>
      <c r="H30" s="24"/>
      <c r="I30" s="55" t="s">
        <v>460</v>
      </c>
      <c r="J30" s="22"/>
      <c r="K30" s="43">
        <f>SUM(E24:E30)-SUM(G24:G30)</f>
        <v>0</v>
      </c>
      <c r="L30" t="s">
        <v>71</v>
      </c>
    </row>
    <row r="31" spans="2:12" x14ac:dyDescent="0.2">
      <c r="B31" t="s">
        <v>748</v>
      </c>
      <c r="E31" s="24"/>
      <c r="F31" s="49"/>
      <c r="G31" s="24"/>
      <c r="H31" s="24"/>
      <c r="I31" s="49"/>
      <c r="J31" s="22"/>
    </row>
    <row r="32" spans="2:12" x14ac:dyDescent="0.2">
      <c r="C32" t="s">
        <v>251</v>
      </c>
      <c r="E32" s="24"/>
      <c r="F32" s="49"/>
      <c r="G32" s="25">
        <f>B_7</f>
        <v>0</v>
      </c>
      <c r="H32" s="24"/>
      <c r="I32" s="53" t="s">
        <v>252</v>
      </c>
      <c r="J32" s="22"/>
    </row>
    <row r="33" spans="2:12" x14ac:dyDescent="0.2">
      <c r="C33" t="s">
        <v>253</v>
      </c>
      <c r="E33" s="24"/>
      <c r="F33" s="49"/>
      <c r="G33" s="26">
        <f>B_8</f>
        <v>0</v>
      </c>
      <c r="H33" s="24"/>
      <c r="I33" s="52" t="s">
        <v>254</v>
      </c>
      <c r="J33" s="22"/>
    </row>
    <row r="34" spans="2:12" x14ac:dyDescent="0.2">
      <c r="C34" s="1" t="s">
        <v>749</v>
      </c>
      <c r="E34" s="25">
        <f>E_65</f>
        <v>0</v>
      </c>
      <c r="F34" s="49"/>
      <c r="G34" s="24"/>
      <c r="H34" s="24"/>
      <c r="I34" s="52" t="s">
        <v>640</v>
      </c>
      <c r="J34" s="22"/>
    </row>
    <row r="35" spans="2:12" x14ac:dyDescent="0.2">
      <c r="C35" s="1" t="s">
        <v>750</v>
      </c>
      <c r="E35" s="24">
        <f>E_69</f>
        <v>0</v>
      </c>
      <c r="F35" s="49"/>
      <c r="G35" s="24"/>
      <c r="H35" s="24"/>
      <c r="I35" s="52" t="s">
        <v>647</v>
      </c>
      <c r="J35" s="22"/>
    </row>
    <row r="36" spans="2:12" x14ac:dyDescent="0.2">
      <c r="C36" t="s">
        <v>256</v>
      </c>
      <c r="E36" s="24"/>
      <c r="F36" s="49"/>
      <c r="G36" s="25">
        <f>B_10</f>
        <v>0</v>
      </c>
      <c r="H36" s="24"/>
      <c r="I36" s="52" t="s">
        <v>257</v>
      </c>
      <c r="J36" s="22"/>
    </row>
    <row r="37" spans="2:12" x14ac:dyDescent="0.2">
      <c r="C37" t="s">
        <v>751</v>
      </c>
      <c r="E37" s="25">
        <f>IF(E_51&gt;0,E_51,0)</f>
        <v>0</v>
      </c>
      <c r="F37" s="49"/>
      <c r="G37" s="26">
        <f>IF(E_51&lt;0,-E_51,0)</f>
        <v>0</v>
      </c>
      <c r="H37" s="24"/>
      <c r="I37" s="52" t="s">
        <v>608</v>
      </c>
      <c r="J37" s="22"/>
    </row>
    <row r="38" spans="2:12" x14ac:dyDescent="0.2">
      <c r="C38" t="s">
        <v>752</v>
      </c>
      <c r="E38" s="25">
        <f>E_52</f>
        <v>0</v>
      </c>
      <c r="F38" s="49"/>
      <c r="G38" s="24"/>
      <c r="H38" s="24"/>
      <c r="I38" s="52" t="s">
        <v>610</v>
      </c>
      <c r="J38" s="22"/>
    </row>
    <row r="39" spans="2:12" x14ac:dyDescent="0.2">
      <c r="C39" t="s">
        <v>753</v>
      </c>
      <c r="E39" s="25">
        <f>IF(E_5&lt;0,-E_5,0)</f>
        <v>0</v>
      </c>
      <c r="F39" s="49"/>
      <c r="G39" s="25">
        <f>IF(E_5&gt;0,E_5,0)</f>
        <v>0</v>
      </c>
      <c r="H39" s="24"/>
      <c r="I39" s="52" t="s">
        <v>488</v>
      </c>
      <c r="J39" s="22"/>
    </row>
    <row r="40" spans="2:12" x14ac:dyDescent="0.2">
      <c r="C40" s="1" t="s">
        <v>754</v>
      </c>
      <c r="E40" s="25">
        <f>IF(A_2&lt;0,-A_2,0)</f>
        <v>0</v>
      </c>
      <c r="F40" s="49"/>
      <c r="G40" s="25">
        <f>IF(A_2&gt;0,A_2,0)</f>
        <v>0</v>
      </c>
      <c r="H40" s="24"/>
      <c r="I40" s="52" t="s">
        <v>91</v>
      </c>
      <c r="J40" s="22"/>
    </row>
    <row r="41" spans="2:12" x14ac:dyDescent="0.2">
      <c r="C41" s="1" t="s">
        <v>755</v>
      </c>
      <c r="E41" s="25">
        <f>IF(A_3&lt;0,-A_3,0)</f>
        <v>0</v>
      </c>
      <c r="F41" s="49"/>
      <c r="G41" s="25">
        <f>IF(A_3&gt;0,A_3,0)</f>
        <v>0</v>
      </c>
      <c r="H41" s="24"/>
      <c r="I41" s="52" t="s">
        <v>93</v>
      </c>
      <c r="J41" s="22"/>
    </row>
    <row r="42" spans="2:12" x14ac:dyDescent="0.2">
      <c r="C42" t="s">
        <v>756</v>
      </c>
      <c r="E42" s="25">
        <f>IF(E_21&gt;0,E_21,0)</f>
        <v>0</v>
      </c>
      <c r="F42" s="49"/>
      <c r="G42" s="25">
        <f>IF(E_21&lt;0,-E_21,0)</f>
        <v>0</v>
      </c>
      <c r="H42" s="24"/>
      <c r="I42" s="52" t="s">
        <v>528</v>
      </c>
      <c r="J42" s="22"/>
    </row>
    <row r="43" spans="2:12" x14ac:dyDescent="0.2">
      <c r="C43" s="1" t="s">
        <v>757</v>
      </c>
      <c r="E43" s="25">
        <f>IF(D_7&gt;0,D_7,0)</f>
        <v>0</v>
      </c>
      <c r="F43" s="49"/>
      <c r="G43" s="25">
        <f>IF(D_7&lt;0,-D_7,0)</f>
        <v>0</v>
      </c>
      <c r="H43" s="24"/>
      <c r="I43" s="52" t="s">
        <v>454</v>
      </c>
      <c r="J43" s="22"/>
    </row>
    <row r="44" spans="2:12" x14ac:dyDescent="0.2">
      <c r="C44" t="s">
        <v>758</v>
      </c>
      <c r="E44" s="26">
        <f>IF(A_4&gt;0,A_4,0)</f>
        <v>0</v>
      </c>
      <c r="F44" s="49"/>
      <c r="G44" s="26">
        <f>IF(A_4&lt;0,-A_4,0)</f>
        <v>0</v>
      </c>
      <c r="H44" s="24"/>
      <c r="I44" s="63" t="s">
        <v>121</v>
      </c>
      <c r="J44" s="22"/>
    </row>
    <row r="45" spans="2:12" ht="13.5" thickBot="1" x14ac:dyDescent="0.25">
      <c r="C45" t="s">
        <v>759</v>
      </c>
      <c r="E45" s="43">
        <f>IF(A_5&gt;0,A_5,0)</f>
        <v>0</v>
      </c>
      <c r="F45" s="49"/>
      <c r="G45" s="43">
        <f>IF(A_5&lt;0,-A_5,0)</f>
        <v>0</v>
      </c>
      <c r="H45" s="24"/>
      <c r="I45" s="55" t="s">
        <v>123</v>
      </c>
      <c r="J45" s="22"/>
      <c r="K45" s="43">
        <f>SUM(E32:E45)-SUM(G32:G45)</f>
        <v>0</v>
      </c>
      <c r="L45" t="s">
        <v>71</v>
      </c>
    </row>
    <row r="46" spans="2:12" x14ac:dyDescent="0.2">
      <c r="B46" t="s">
        <v>760</v>
      </c>
      <c r="E46" s="24"/>
      <c r="F46" s="49"/>
      <c r="G46" s="24"/>
      <c r="H46" s="24"/>
      <c r="I46" s="49"/>
      <c r="J46" s="22"/>
    </row>
    <row r="47" spans="2:12" x14ac:dyDescent="0.2">
      <c r="C47" t="s">
        <v>760</v>
      </c>
      <c r="E47" s="24"/>
      <c r="F47" s="49"/>
      <c r="G47" s="25">
        <f>B_9</f>
        <v>0</v>
      </c>
      <c r="H47" s="24"/>
      <c r="I47" s="53" t="s">
        <v>255</v>
      </c>
      <c r="J47" s="22"/>
      <c r="K47" s="24"/>
    </row>
    <row r="48" spans="2:12" ht="13.5" thickBot="1" x14ac:dyDescent="0.25">
      <c r="C48" s="1" t="s">
        <v>761</v>
      </c>
      <c r="E48" s="43">
        <f>IF(E_3&lt;0,-E_3,0)</f>
        <v>0</v>
      </c>
      <c r="F48" s="49"/>
      <c r="G48" s="43">
        <f>IF(E_3&gt;0,E_3,0)</f>
        <v>0</v>
      </c>
      <c r="H48" s="24"/>
      <c r="I48" s="55" t="s">
        <v>484</v>
      </c>
      <c r="J48" s="22"/>
      <c r="K48" s="43">
        <f>SUM(E47:E48)-SUM(G47:G48)</f>
        <v>0</v>
      </c>
      <c r="L48" t="s">
        <v>71</v>
      </c>
    </row>
    <row r="49" spans="1:12" x14ac:dyDescent="0.2">
      <c r="B49" t="s">
        <v>762</v>
      </c>
      <c r="E49" s="24"/>
      <c r="F49" s="49"/>
      <c r="G49" s="24"/>
      <c r="H49" s="24"/>
      <c r="I49" s="49"/>
      <c r="J49" s="22"/>
      <c r="K49" s="24"/>
    </row>
    <row r="50" spans="1:12" ht="13.5" thickBot="1" x14ac:dyDescent="0.25">
      <c r="C50" t="s">
        <v>763</v>
      </c>
      <c r="E50" s="24"/>
      <c r="F50" s="49"/>
      <c r="G50" s="43">
        <f>E_49</f>
        <v>0</v>
      </c>
      <c r="H50" s="24"/>
      <c r="I50" s="51" t="s">
        <v>604</v>
      </c>
      <c r="J50" s="22"/>
      <c r="K50" s="43">
        <f>E50-G50</f>
        <v>0</v>
      </c>
      <c r="L50" t="s">
        <v>71</v>
      </c>
    </row>
    <row r="51" spans="1:12" x14ac:dyDescent="0.2">
      <c r="B51" t="s">
        <v>605</v>
      </c>
      <c r="E51" s="24"/>
      <c r="F51" s="49"/>
      <c r="G51" s="24"/>
      <c r="H51" s="24"/>
      <c r="I51" s="49"/>
      <c r="J51" s="22"/>
      <c r="K51" s="24"/>
    </row>
    <row r="52" spans="1:12" x14ac:dyDescent="0.2">
      <c r="C52" t="s">
        <v>764</v>
      </c>
      <c r="E52" s="25">
        <f>E_50</f>
        <v>0</v>
      </c>
      <c r="F52" s="49"/>
      <c r="G52" s="24"/>
      <c r="H52" s="24"/>
      <c r="I52" s="53" t="s">
        <v>606</v>
      </c>
      <c r="J52" s="22"/>
      <c r="K52" s="24"/>
    </row>
    <row r="53" spans="1:12" x14ac:dyDescent="0.2">
      <c r="C53" s="1" t="s">
        <v>578</v>
      </c>
      <c r="E53" s="26">
        <f>E_44</f>
        <v>0</v>
      </c>
      <c r="F53" s="49"/>
      <c r="G53" s="24"/>
      <c r="H53" s="24"/>
      <c r="I53" s="52" t="s">
        <v>579</v>
      </c>
      <c r="J53" s="22"/>
      <c r="K53" s="24"/>
    </row>
    <row r="54" spans="1:12" ht="13.5" thickBot="1" x14ac:dyDescent="0.25">
      <c r="C54" t="s">
        <v>765</v>
      </c>
      <c r="E54" s="43">
        <f>IF(E_15&lt;0,-E_15,0)</f>
        <v>0</v>
      </c>
      <c r="F54" s="49"/>
      <c r="G54" s="43">
        <f>IF(E_15&gt;0,E_15,0)</f>
        <v>0</v>
      </c>
      <c r="H54" s="24"/>
      <c r="I54" s="55" t="s">
        <v>510</v>
      </c>
      <c r="J54" s="22"/>
      <c r="K54" s="43">
        <f>SUM(E52:E54)-SUM(G52:G54)</f>
        <v>0</v>
      </c>
      <c r="L54" t="s">
        <v>71</v>
      </c>
    </row>
    <row r="55" spans="1:12" ht="13.5" thickBot="1" x14ac:dyDescent="0.25">
      <c r="A55" s="16"/>
      <c r="B55" s="1" t="s">
        <v>653</v>
      </c>
      <c r="C55" s="1"/>
      <c r="E55" s="43">
        <f>E_61</f>
        <v>0</v>
      </c>
      <c r="F55" s="49"/>
      <c r="G55" s="24"/>
      <c r="H55" s="24"/>
      <c r="I55" s="52" t="s">
        <v>654</v>
      </c>
      <c r="J55" s="22"/>
      <c r="K55" s="43">
        <f>E55-G55</f>
        <v>0</v>
      </c>
      <c r="L55" s="1" t="s">
        <v>71</v>
      </c>
    </row>
    <row r="56" spans="1:12" ht="13.5" thickBot="1" x14ac:dyDescent="0.25">
      <c r="A56" s="16"/>
      <c r="B56" s="1" t="s">
        <v>766</v>
      </c>
      <c r="C56" s="1"/>
      <c r="E56" s="24"/>
      <c r="F56" s="49"/>
      <c r="G56" s="43">
        <f>E_62</f>
        <v>0</v>
      </c>
      <c r="H56" s="24"/>
      <c r="I56" s="52" t="s">
        <v>656</v>
      </c>
      <c r="J56" s="22"/>
      <c r="K56" s="43">
        <f>E56-G56</f>
        <v>0</v>
      </c>
      <c r="L56" s="1" t="s">
        <v>71</v>
      </c>
    </row>
    <row r="57" spans="1:12" x14ac:dyDescent="0.2">
      <c r="B57" t="s">
        <v>767</v>
      </c>
      <c r="E57" s="24"/>
      <c r="F57" s="49"/>
      <c r="G57" s="24"/>
      <c r="H57" s="24"/>
      <c r="I57" s="49"/>
      <c r="J57" s="22"/>
    </row>
    <row r="58" spans="1:12" x14ac:dyDescent="0.2">
      <c r="C58" t="s">
        <v>586</v>
      </c>
      <c r="E58" s="25">
        <f>IF(E_48&gt;0,E_48,0)</f>
        <v>0</v>
      </c>
      <c r="F58" s="49"/>
      <c r="G58" s="25">
        <f>IF(E_48&lt;0,-E_48,0)</f>
        <v>0</v>
      </c>
      <c r="H58" s="24"/>
      <c r="I58" s="53" t="s">
        <v>587</v>
      </c>
      <c r="J58" s="22"/>
    </row>
    <row r="59" spans="1:12" x14ac:dyDescent="0.2">
      <c r="C59" s="1" t="s">
        <v>768</v>
      </c>
      <c r="E59" s="25">
        <f>IF(E_4&lt;0,-E_4,0)</f>
        <v>0</v>
      </c>
      <c r="F59" s="49"/>
      <c r="G59" s="25">
        <f>IF(E_4&gt;0,E_4,0)</f>
        <v>0</v>
      </c>
      <c r="H59" s="24"/>
      <c r="I59" s="52" t="s">
        <v>486</v>
      </c>
      <c r="J59" s="22"/>
    </row>
    <row r="60" spans="1:12" x14ac:dyDescent="0.2">
      <c r="C60" s="1" t="s">
        <v>769</v>
      </c>
      <c r="E60" s="26">
        <f>IF(A_6&gt;0,A_6,0)</f>
        <v>0</v>
      </c>
      <c r="F60" s="49"/>
      <c r="G60" s="26">
        <f>IF(A_6&lt;0,-A_6,0)</f>
        <v>0</v>
      </c>
      <c r="H60" s="24"/>
      <c r="I60" s="52" t="s">
        <v>131</v>
      </c>
      <c r="J60" s="22"/>
      <c r="K60" s="24"/>
    </row>
    <row r="61" spans="1:12" x14ac:dyDescent="0.2">
      <c r="C61" s="1" t="s">
        <v>770</v>
      </c>
      <c r="E61" s="24"/>
      <c r="F61" s="49"/>
      <c r="G61" s="25">
        <f>-E_91</f>
        <v>0</v>
      </c>
      <c r="H61" s="24"/>
      <c r="I61" s="53" t="s">
        <v>631</v>
      </c>
      <c r="J61" s="22"/>
    </row>
    <row r="62" spans="1:12" ht="13.5" thickBot="1" x14ac:dyDescent="0.25">
      <c r="C62" s="1" t="s">
        <v>771</v>
      </c>
      <c r="E62" s="54">
        <f>IF(E_36&gt;0,E_36,0)</f>
        <v>0</v>
      </c>
      <c r="F62" s="49"/>
      <c r="G62" s="54">
        <f>IF(E_36&lt;0,-E_36,0)</f>
        <v>0</v>
      </c>
      <c r="H62" s="24"/>
      <c r="I62" s="51" t="s">
        <v>658</v>
      </c>
      <c r="J62" s="22"/>
      <c r="K62" s="43">
        <f>SUM(E58:E62)-SUM(G58:G62)</f>
        <v>0</v>
      </c>
      <c r="L62" t="s">
        <v>71</v>
      </c>
    </row>
    <row r="63" spans="1:12" ht="11.1" customHeight="1" x14ac:dyDescent="0.2">
      <c r="E63" s="24"/>
      <c r="F63" s="49"/>
      <c r="G63" s="24"/>
      <c r="H63" s="24"/>
      <c r="I63" s="49"/>
      <c r="J63" s="22"/>
      <c r="K63" s="24"/>
    </row>
    <row r="64" spans="1:12" x14ac:dyDescent="0.2">
      <c r="A64" s="16" t="s">
        <v>772</v>
      </c>
      <c r="E64" s="24"/>
      <c r="F64" s="49"/>
      <c r="G64" s="24"/>
      <c r="H64" s="24"/>
      <c r="I64" s="49"/>
      <c r="J64" s="22"/>
    </row>
    <row r="65" spans="1:22" x14ac:dyDescent="0.2">
      <c r="A65" s="16"/>
      <c r="B65" t="s">
        <v>773</v>
      </c>
      <c r="E65" s="24"/>
      <c r="F65" s="49"/>
      <c r="G65" s="24"/>
      <c r="H65" s="24"/>
      <c r="I65" s="49"/>
      <c r="J65" s="22"/>
    </row>
    <row r="66" spans="1:22" x14ac:dyDescent="0.2">
      <c r="A66" s="16"/>
      <c r="C66" t="s">
        <v>263</v>
      </c>
      <c r="E66" s="25">
        <f>B_12</f>
        <v>0</v>
      </c>
      <c r="F66" s="49"/>
      <c r="G66" s="24"/>
      <c r="H66" s="24"/>
      <c r="I66" s="53" t="s">
        <v>264</v>
      </c>
      <c r="J66" s="22"/>
    </row>
    <row r="67" spans="1:22" ht="13.5" thickBot="1" x14ac:dyDescent="0.25">
      <c r="A67" s="16"/>
      <c r="C67" s="1" t="s">
        <v>774</v>
      </c>
      <c r="E67" s="54">
        <f>IF(E_16&lt;0,-E_16,0)</f>
        <v>0</v>
      </c>
      <c r="F67" s="49"/>
      <c r="G67" s="43">
        <f>IF(E_16&gt;0,E_16,0)</f>
        <v>0</v>
      </c>
      <c r="H67" s="24"/>
      <c r="I67" s="51" t="s">
        <v>513</v>
      </c>
      <c r="J67" s="22"/>
      <c r="K67" s="43">
        <f>SUM(E66:E67)-SUM(G66:G67)</f>
        <v>0</v>
      </c>
      <c r="L67" t="s">
        <v>71</v>
      </c>
    </row>
    <row r="68" spans="1:22" ht="13.5" thickBot="1" x14ac:dyDescent="0.25">
      <c r="A68" s="16"/>
      <c r="B68" t="s">
        <v>775</v>
      </c>
      <c r="E68" s="43">
        <f>B_23</f>
        <v>0</v>
      </c>
      <c r="F68" s="49"/>
      <c r="G68" s="24"/>
      <c r="H68" s="24"/>
      <c r="I68" s="51" t="s">
        <v>266</v>
      </c>
      <c r="J68" s="22"/>
      <c r="K68" s="43">
        <f>E68-G68</f>
        <v>0</v>
      </c>
      <c r="L68" t="s">
        <v>71</v>
      </c>
    </row>
    <row r="69" spans="1:22" ht="13.5" thickBot="1" x14ac:dyDescent="0.25">
      <c r="A69" s="16"/>
      <c r="B69" t="s">
        <v>267</v>
      </c>
      <c r="E69" s="43">
        <f>B_13</f>
        <v>0</v>
      </c>
      <c r="F69" s="49"/>
      <c r="G69" s="24"/>
      <c r="H69" s="24"/>
      <c r="I69" s="51" t="s">
        <v>268</v>
      </c>
      <c r="J69" s="22"/>
      <c r="K69" s="43">
        <f>E69-G69</f>
        <v>0</v>
      </c>
      <c r="L69" t="s">
        <v>71</v>
      </c>
    </row>
    <row r="70" spans="1:22" x14ac:dyDescent="0.2">
      <c r="A70" s="16"/>
      <c r="B70" t="s">
        <v>269</v>
      </c>
      <c r="E70" s="128">
        <f>B_24</f>
        <v>0</v>
      </c>
      <c r="F70" s="49"/>
      <c r="G70" s="24"/>
      <c r="H70" s="24"/>
      <c r="I70" s="49" t="s">
        <v>776</v>
      </c>
      <c r="J70" s="22"/>
      <c r="K70" s="129" t="s">
        <v>71</v>
      </c>
    </row>
    <row r="71" spans="1:22" hidden="1" x14ac:dyDescent="0.2">
      <c r="A71" s="16"/>
      <c r="C71" s="1" t="s">
        <v>777</v>
      </c>
      <c r="E71" s="25">
        <f>B_22</f>
        <v>0</v>
      </c>
      <c r="F71" s="49"/>
      <c r="G71" s="24"/>
      <c r="H71" s="24"/>
      <c r="I71" s="53" t="s">
        <v>274</v>
      </c>
      <c r="J71" s="22"/>
      <c r="K71" s="24"/>
      <c r="L71" s="122" t="s">
        <v>778</v>
      </c>
      <c r="M71" s="122"/>
      <c r="N71" s="122"/>
      <c r="O71" s="122"/>
      <c r="P71" s="122"/>
      <c r="Q71" s="122"/>
      <c r="R71" s="122"/>
      <c r="S71" s="122"/>
      <c r="T71" s="122"/>
    </row>
    <row r="72" spans="1:22" ht="13.5" thickBot="1" x14ac:dyDescent="0.25">
      <c r="A72" s="16"/>
      <c r="C72" s="1" t="s">
        <v>779</v>
      </c>
      <c r="E72" s="54">
        <f>IF(E_6&lt;0,-E_6,0)</f>
        <v>0</v>
      </c>
      <c r="F72" s="49"/>
      <c r="G72" s="43">
        <f>IF(E_6&gt;0,E_6,0)</f>
        <v>0</v>
      </c>
      <c r="H72" s="24"/>
      <c r="I72" s="53" t="s">
        <v>490</v>
      </c>
      <c r="J72" s="22"/>
      <c r="K72" s="43">
        <f>SUM(E70:E72)-G72</f>
        <v>0</v>
      </c>
      <c r="L72" s="122" t="s">
        <v>71</v>
      </c>
      <c r="M72" s="122"/>
      <c r="N72" s="122"/>
      <c r="O72" s="122"/>
      <c r="P72" s="122"/>
      <c r="Q72" s="122"/>
      <c r="R72" s="122"/>
      <c r="S72" s="122"/>
      <c r="T72" s="122"/>
    </row>
    <row r="73" spans="1:22" x14ac:dyDescent="0.2">
      <c r="A73" s="16"/>
      <c r="B73" t="s">
        <v>271</v>
      </c>
      <c r="E73" s="128">
        <f>B_25</f>
        <v>0</v>
      </c>
      <c r="F73" s="49"/>
      <c r="G73" s="24"/>
      <c r="H73" s="24"/>
      <c r="I73" s="49" t="s">
        <v>272</v>
      </c>
      <c r="J73" s="22"/>
      <c r="K73" s="129" t="s">
        <v>71</v>
      </c>
      <c r="L73" s="1" t="s">
        <v>71</v>
      </c>
    </row>
    <row r="74" spans="1:22" ht="13.5" thickBot="1" x14ac:dyDescent="0.25">
      <c r="A74" s="16"/>
      <c r="C74" s="1" t="s">
        <v>780</v>
      </c>
      <c r="E74" s="26">
        <f>IF(E_71&gt;0,E_71,0)</f>
        <v>0</v>
      </c>
      <c r="F74" s="49"/>
      <c r="G74" s="26">
        <f>IF(E_71&lt;0,-E_71,0)</f>
        <v>0</v>
      </c>
      <c r="H74" s="24"/>
      <c r="I74" s="49" t="s">
        <v>555</v>
      </c>
      <c r="J74" s="22"/>
      <c r="K74" s="43">
        <f>SUM(E73:E74)-SUM(G73:G74)</f>
        <v>0</v>
      </c>
      <c r="L74" s="1" t="s">
        <v>71</v>
      </c>
    </row>
    <row r="75" spans="1:22" x14ac:dyDescent="0.2">
      <c r="A75" s="16"/>
      <c r="B75" t="s">
        <v>781</v>
      </c>
      <c r="C75" s="1"/>
      <c r="E75" s="130"/>
      <c r="F75" s="49"/>
      <c r="G75" s="24">
        <f>E_72</f>
        <v>0</v>
      </c>
      <c r="H75" s="24"/>
      <c r="I75" s="49" t="s">
        <v>651</v>
      </c>
      <c r="J75" s="22"/>
      <c r="K75" s="138"/>
      <c r="L75" s="1"/>
    </row>
    <row r="76" spans="1:22" ht="13.5" thickBot="1" x14ac:dyDescent="0.25">
      <c r="A76" s="16"/>
      <c r="B76" t="s">
        <v>275</v>
      </c>
      <c r="C76" s="1"/>
      <c r="E76" s="54">
        <f>B_26</f>
        <v>0</v>
      </c>
      <c r="F76" s="49"/>
      <c r="G76" s="43">
        <f>G75</f>
        <v>0</v>
      </c>
      <c r="H76" s="24"/>
      <c r="I76" s="53" t="s">
        <v>276</v>
      </c>
      <c r="J76" s="22"/>
      <c r="K76" s="43">
        <f>E76-G76</f>
        <v>0</v>
      </c>
      <c r="L76" s="122" t="s">
        <v>71</v>
      </c>
      <c r="M76" s="122"/>
      <c r="N76" s="122"/>
      <c r="O76" s="122"/>
      <c r="P76" s="122"/>
      <c r="Q76" s="122"/>
      <c r="R76" s="122"/>
      <c r="S76" s="122"/>
      <c r="T76" s="122"/>
      <c r="U76" s="122"/>
      <c r="V76" s="122"/>
    </row>
    <row r="77" spans="1:22" x14ac:dyDescent="0.2">
      <c r="A77" s="16"/>
      <c r="B77" t="s">
        <v>782</v>
      </c>
      <c r="E77" s="24"/>
      <c r="F77" s="49"/>
      <c r="G77" s="24"/>
      <c r="H77" s="24"/>
      <c r="I77" s="49"/>
      <c r="J77" s="22"/>
    </row>
    <row r="78" spans="1:22" x14ac:dyDescent="0.2">
      <c r="A78" s="16"/>
      <c r="C78" s="1" t="s">
        <v>277</v>
      </c>
      <c r="E78" s="25">
        <f>B_14</f>
        <v>0</v>
      </c>
      <c r="F78" s="49"/>
      <c r="G78" s="24"/>
      <c r="H78" s="24"/>
      <c r="I78" s="53" t="s">
        <v>278</v>
      </c>
      <c r="J78" s="22"/>
      <c r="K78" s="24"/>
    </row>
    <row r="79" spans="1:22" x14ac:dyDescent="0.2">
      <c r="A79" s="16"/>
      <c r="C79" t="s">
        <v>783</v>
      </c>
      <c r="E79" s="25">
        <f>IF(E_7&lt;0,-E_7,0)</f>
        <v>0</v>
      </c>
      <c r="F79" s="49"/>
      <c r="G79" s="25">
        <f>IF(E_7&gt;0,E_7,0)</f>
        <v>0</v>
      </c>
      <c r="H79" s="24"/>
      <c r="I79" s="52" t="s">
        <v>492</v>
      </c>
      <c r="J79" s="22"/>
    </row>
    <row r="80" spans="1:22" x14ac:dyDescent="0.2">
      <c r="A80" s="16"/>
      <c r="C80" s="1" t="s">
        <v>784</v>
      </c>
      <c r="E80" s="25">
        <f>IF(E_10&lt;0,-E_10,0)</f>
        <v>0</v>
      </c>
      <c r="F80" s="49"/>
      <c r="G80" s="25">
        <f>IF(E_10&gt;0,E_10,0)</f>
        <v>0</v>
      </c>
      <c r="H80" s="24"/>
      <c r="I80" s="52" t="s">
        <v>500</v>
      </c>
      <c r="J80" s="22"/>
    </row>
    <row r="81" spans="1:22" x14ac:dyDescent="0.2">
      <c r="A81" s="16"/>
      <c r="C81" s="1" t="s">
        <v>785</v>
      </c>
      <c r="E81" s="25">
        <f>IF(E_18&lt;0,-E_18,0)</f>
        <v>0</v>
      </c>
      <c r="F81" s="49"/>
      <c r="G81" s="25">
        <f>IF(E_18&gt;0,E_18,0)</f>
        <v>0</v>
      </c>
      <c r="H81" s="24"/>
      <c r="I81" s="52" t="s">
        <v>517</v>
      </c>
      <c r="J81" s="22"/>
    </row>
    <row r="82" spans="1:22" x14ac:dyDescent="0.2">
      <c r="A82" s="16"/>
      <c r="C82" s="1" t="s">
        <v>786</v>
      </c>
      <c r="E82" s="25">
        <f>IF(E_19&lt;0,-E_19,0)</f>
        <v>0</v>
      </c>
      <c r="F82" s="49"/>
      <c r="G82" s="25">
        <f>IF(E_19&gt;0,E_19,0)</f>
        <v>0</v>
      </c>
      <c r="H82" s="24"/>
      <c r="I82" s="52" t="s">
        <v>520</v>
      </c>
      <c r="J82" s="22"/>
    </row>
    <row r="83" spans="1:22" x14ac:dyDescent="0.2">
      <c r="A83" s="16"/>
      <c r="C83" s="1" t="s">
        <v>787</v>
      </c>
      <c r="E83" s="25">
        <f>IF(E_25&gt;0,E_25,0)</f>
        <v>0</v>
      </c>
      <c r="F83" s="49"/>
      <c r="G83" s="25">
        <f>IF(E_25&lt;0,-E_25,0)</f>
        <v>0</v>
      </c>
      <c r="H83" s="24"/>
      <c r="I83" s="52" t="s">
        <v>536</v>
      </c>
      <c r="J83" s="22"/>
    </row>
    <row r="84" spans="1:22" x14ac:dyDescent="0.2">
      <c r="A84" s="16"/>
      <c r="C84" s="1" t="s">
        <v>788</v>
      </c>
      <c r="E84" s="25">
        <f>IF(E_27&gt;0,E_27,0)</f>
        <v>0</v>
      </c>
      <c r="F84" s="49"/>
      <c r="G84" s="25">
        <f>IF(E_27&lt;0,-E_27,0)</f>
        <v>0</v>
      </c>
      <c r="H84" s="24"/>
      <c r="I84" s="63" t="s">
        <v>540</v>
      </c>
      <c r="J84" s="22"/>
    </row>
    <row r="85" spans="1:22" ht="13.5" thickBot="1" x14ac:dyDescent="0.25">
      <c r="A85" s="16"/>
      <c r="C85" s="1" t="s">
        <v>789</v>
      </c>
      <c r="E85" s="54">
        <f>IF(E_32&gt;0,E_32,0)</f>
        <v>0</v>
      </c>
      <c r="F85" s="49"/>
      <c r="G85" s="54">
        <f>IF(E_32&lt;0,-E_32,0)</f>
        <v>0</v>
      </c>
      <c r="H85" s="24"/>
      <c r="I85" s="55" t="s">
        <v>549</v>
      </c>
      <c r="J85" s="22"/>
      <c r="K85" s="43">
        <f>SUM(E78:E85)-SUM(G78:G85)</f>
        <v>0</v>
      </c>
      <c r="L85" s="122" t="s">
        <v>71</v>
      </c>
      <c r="M85" s="122"/>
      <c r="N85" s="122"/>
      <c r="O85" s="122"/>
      <c r="P85" s="122"/>
      <c r="Q85" s="122"/>
      <c r="R85" s="122"/>
      <c r="S85" s="122"/>
      <c r="T85" s="122"/>
      <c r="U85" s="122"/>
      <c r="V85" s="122"/>
    </row>
    <row r="86" spans="1:22" x14ac:dyDescent="0.2">
      <c r="A86" s="16"/>
      <c r="B86" t="s">
        <v>790</v>
      </c>
      <c r="C86" s="1"/>
      <c r="E86" s="24"/>
      <c r="F86" s="49"/>
      <c r="G86" s="24"/>
      <c r="H86" s="24"/>
      <c r="I86" s="49"/>
      <c r="J86" s="22"/>
      <c r="N86" t="s">
        <v>71</v>
      </c>
    </row>
    <row r="87" spans="1:22" x14ac:dyDescent="0.2">
      <c r="A87" s="16"/>
      <c r="C87" s="1" t="s">
        <v>279</v>
      </c>
      <c r="E87" s="25">
        <f>B_15</f>
        <v>0</v>
      </c>
      <c r="F87" s="49"/>
      <c r="G87" s="24"/>
      <c r="H87" s="24"/>
      <c r="I87" s="53" t="s">
        <v>280</v>
      </c>
      <c r="J87" s="22"/>
    </row>
    <row r="88" spans="1:22" x14ac:dyDescent="0.2">
      <c r="A88" s="16"/>
      <c r="C88" t="s">
        <v>298</v>
      </c>
      <c r="E88" s="26">
        <f>B_21</f>
        <v>0</v>
      </c>
      <c r="F88" s="49"/>
      <c r="G88" s="24"/>
      <c r="H88" s="24"/>
      <c r="I88" s="52" t="s">
        <v>299</v>
      </c>
      <c r="J88" s="22"/>
    </row>
    <row r="89" spans="1:22" x14ac:dyDescent="0.2">
      <c r="A89" s="16"/>
      <c r="C89" t="s">
        <v>791</v>
      </c>
      <c r="E89" s="26">
        <f>E_56</f>
        <v>0</v>
      </c>
      <c r="F89" s="49"/>
      <c r="G89" s="24"/>
      <c r="H89" s="24"/>
      <c r="I89" s="52" t="s">
        <v>667</v>
      </c>
      <c r="J89" s="22"/>
    </row>
    <row r="90" spans="1:22" x14ac:dyDescent="0.2">
      <c r="A90" s="16"/>
      <c r="C90" t="s">
        <v>792</v>
      </c>
      <c r="E90" s="24"/>
      <c r="F90" s="49"/>
      <c r="G90" s="25">
        <f>E_38</f>
        <v>0</v>
      </c>
      <c r="H90" s="24"/>
      <c r="I90" s="52" t="s">
        <v>560</v>
      </c>
      <c r="J90" s="22"/>
    </row>
    <row r="91" spans="1:22" x14ac:dyDescent="0.2">
      <c r="A91" s="16"/>
      <c r="C91" s="1" t="s">
        <v>793</v>
      </c>
      <c r="E91" s="25">
        <f>IF(E_12&lt;0,-E_12,0)</f>
        <v>0</v>
      </c>
      <c r="F91" s="49"/>
      <c r="G91" s="25">
        <f>IF(E_12&gt;0,E_12,0)</f>
        <v>0</v>
      </c>
      <c r="H91" s="24"/>
      <c r="I91" s="52" t="s">
        <v>504</v>
      </c>
      <c r="J91" s="22"/>
      <c r="K91" s="24"/>
    </row>
    <row r="92" spans="1:22" x14ac:dyDescent="0.2">
      <c r="A92" s="16"/>
      <c r="C92" s="1" t="s">
        <v>794</v>
      </c>
      <c r="E92" s="25">
        <f>IF(E_20a&lt;0,-E_20a,0)</f>
        <v>0</v>
      </c>
      <c r="F92" s="49"/>
      <c r="G92" s="25">
        <f>IF(E_20a&gt;0,E_20a,0)</f>
        <v>0</v>
      </c>
      <c r="H92" s="24"/>
      <c r="I92" s="52" t="s">
        <v>524</v>
      </c>
      <c r="J92" s="22"/>
      <c r="K92" s="24"/>
    </row>
    <row r="93" spans="1:22" ht="13.5" thickBot="1" x14ac:dyDescent="0.25">
      <c r="A93" s="16"/>
      <c r="C93" s="1" t="s">
        <v>795</v>
      </c>
      <c r="E93" s="54">
        <f>IF(E_33&gt;0,E_33,0)</f>
        <v>0</v>
      </c>
      <c r="F93" s="49"/>
      <c r="G93" s="54">
        <f>IF(E_33&lt;0,-E_33,0)</f>
        <v>0</v>
      </c>
      <c r="H93" s="24"/>
      <c r="I93" s="55" t="s">
        <v>551</v>
      </c>
      <c r="J93" s="22"/>
      <c r="K93" s="43">
        <f>SUM(E87:E93)-SUM(G87:G93)</f>
        <v>0</v>
      </c>
      <c r="L93" s="122" t="s">
        <v>71</v>
      </c>
      <c r="M93" s="122"/>
      <c r="N93" s="122"/>
      <c r="O93" s="122"/>
      <c r="P93" s="122"/>
      <c r="Q93" s="122"/>
      <c r="R93" s="122"/>
      <c r="S93" s="122"/>
      <c r="T93" s="122"/>
      <c r="U93" s="122"/>
    </row>
    <row r="96" spans="1:22" ht="11.1" customHeight="1" x14ac:dyDescent="0.2">
      <c r="A96" s="16"/>
      <c r="C96" s="1"/>
      <c r="E96" s="24"/>
      <c r="F96" s="49"/>
      <c r="G96" s="24"/>
      <c r="H96" s="24"/>
      <c r="I96" s="49"/>
      <c r="J96" s="22"/>
      <c r="K96" s="24"/>
    </row>
    <row r="97" spans="1:17" x14ac:dyDescent="0.2">
      <c r="A97" s="16" t="s">
        <v>796</v>
      </c>
      <c r="E97" s="24"/>
      <c r="F97" s="49"/>
      <c r="G97" s="24"/>
      <c r="H97" s="24"/>
      <c r="I97" s="49"/>
      <c r="J97" s="22"/>
    </row>
    <row r="98" spans="1:17" x14ac:dyDescent="0.2">
      <c r="A98" s="16" t="s">
        <v>797</v>
      </c>
      <c r="E98" s="24"/>
      <c r="F98" s="49"/>
      <c r="G98" s="24"/>
      <c r="H98" s="24"/>
      <c r="I98" s="49"/>
      <c r="J98" s="22"/>
    </row>
    <row r="99" spans="1:17" ht="12.6" customHeight="1" x14ac:dyDescent="0.2">
      <c r="A99" s="16"/>
      <c r="B99" t="s">
        <v>798</v>
      </c>
      <c r="E99" s="24"/>
      <c r="F99" s="49"/>
      <c r="G99" s="24"/>
      <c r="H99" s="24"/>
      <c r="I99" s="49"/>
      <c r="J99" s="22"/>
    </row>
    <row r="100" spans="1:17" ht="12.6" customHeight="1" x14ac:dyDescent="0.2">
      <c r="A100" s="16"/>
      <c r="C100" t="s">
        <v>288</v>
      </c>
      <c r="E100" s="25">
        <f>B_17</f>
        <v>0</v>
      </c>
      <c r="F100" s="49"/>
      <c r="G100" s="24"/>
      <c r="H100" s="24"/>
      <c r="I100" s="53" t="s">
        <v>289</v>
      </c>
      <c r="J100" s="22"/>
    </row>
    <row r="101" spans="1:17" ht="12.6" customHeight="1" thickBot="1" x14ac:dyDescent="0.25">
      <c r="A101" s="16"/>
      <c r="C101" s="1" t="s">
        <v>799</v>
      </c>
      <c r="E101" s="54">
        <f>IF(E_17&lt;0,-E_17,0)</f>
        <v>0</v>
      </c>
      <c r="F101" s="49"/>
      <c r="G101" s="43">
        <f>IF(E_17&gt;0,E_17,0)</f>
        <v>0</v>
      </c>
      <c r="H101" s="24"/>
      <c r="I101" s="51" t="s">
        <v>515</v>
      </c>
      <c r="J101" s="22"/>
      <c r="K101" s="43">
        <f>SUM(E100:E101)-SUM(G100:G101)</f>
        <v>0</v>
      </c>
      <c r="L101" s="1" t="s">
        <v>71</v>
      </c>
    </row>
    <row r="102" spans="1:17" ht="12.6" customHeight="1" x14ac:dyDescent="0.2">
      <c r="A102" s="16"/>
      <c r="B102" t="s">
        <v>800</v>
      </c>
      <c r="E102" s="24"/>
      <c r="F102" s="49"/>
      <c r="G102" s="24"/>
      <c r="H102" s="24"/>
      <c r="I102" s="49"/>
      <c r="J102" s="22"/>
    </row>
    <row r="103" spans="1:17" ht="12.6" customHeight="1" x14ac:dyDescent="0.2">
      <c r="A103" s="16"/>
      <c r="C103" t="s">
        <v>290</v>
      </c>
      <c r="E103" s="25">
        <f>B_18</f>
        <v>0</v>
      </c>
      <c r="F103" s="49"/>
      <c r="G103" s="24"/>
      <c r="H103" s="24"/>
      <c r="I103" s="53" t="s">
        <v>291</v>
      </c>
      <c r="J103" s="22"/>
    </row>
    <row r="104" spans="1:17" ht="12.6" customHeight="1" thickBot="1" x14ac:dyDescent="0.25">
      <c r="A104" s="16"/>
      <c r="C104" s="1" t="s">
        <v>801</v>
      </c>
      <c r="E104" s="43">
        <f>IF(E_58&lt;0,-E_58,0)</f>
        <v>0</v>
      </c>
      <c r="F104" s="49"/>
      <c r="G104" s="43">
        <f>IF(E_58&gt;0,E_58,0)</f>
        <v>0</v>
      </c>
      <c r="H104" s="24"/>
      <c r="I104" s="53" t="s">
        <v>494</v>
      </c>
      <c r="J104" s="22"/>
      <c r="K104" s="43">
        <f>SUM(E103:E104)-SUM(G103:G104)</f>
        <v>0</v>
      </c>
      <c r="L104" s="1" t="s">
        <v>71</v>
      </c>
    </row>
    <row r="105" spans="1:17" ht="12.6" customHeight="1" x14ac:dyDescent="0.2">
      <c r="A105" s="16"/>
      <c r="B105" t="s">
        <v>802</v>
      </c>
      <c r="C105" s="1"/>
      <c r="E105" s="24">
        <f>B_27</f>
        <v>0</v>
      </c>
      <c r="F105" s="49"/>
      <c r="G105" s="24"/>
      <c r="H105" s="24"/>
      <c r="I105" s="49"/>
      <c r="J105" s="22"/>
      <c r="K105" s="24">
        <f>E105</f>
        <v>0</v>
      </c>
      <c r="L105" s="122" t="s">
        <v>71</v>
      </c>
      <c r="M105" s="122"/>
      <c r="N105" s="122"/>
      <c r="O105" s="122"/>
      <c r="P105" s="122"/>
      <c r="Q105" s="122"/>
    </row>
    <row r="106" spans="1:17" ht="12.6" customHeight="1" x14ac:dyDescent="0.2">
      <c r="A106" s="16"/>
      <c r="B106" t="s">
        <v>803</v>
      </c>
      <c r="E106" s="24"/>
      <c r="F106" s="49"/>
      <c r="G106" s="24"/>
      <c r="H106" s="24"/>
      <c r="I106" s="49"/>
      <c r="J106" s="22"/>
      <c r="K106" s="24"/>
    </row>
    <row r="107" spans="1:17" ht="12.6" customHeight="1" x14ac:dyDescent="0.2">
      <c r="A107" s="16"/>
      <c r="C107" t="s">
        <v>294</v>
      </c>
      <c r="E107" s="25">
        <f>B_19</f>
        <v>0</v>
      </c>
      <c r="F107" s="49"/>
      <c r="G107" s="24"/>
      <c r="H107" s="24"/>
      <c r="I107" s="53" t="s">
        <v>295</v>
      </c>
      <c r="J107" s="22"/>
      <c r="K107" s="24"/>
    </row>
    <row r="108" spans="1:17" ht="12.6" customHeight="1" x14ac:dyDescent="0.2">
      <c r="A108" s="16"/>
      <c r="C108" s="1" t="s">
        <v>804</v>
      </c>
      <c r="E108" s="25">
        <f>IF(E_8&lt;0,-E_8,0)</f>
        <v>0</v>
      </c>
      <c r="F108" s="49"/>
      <c r="G108" s="25">
        <f>IF(E_8&gt;0,E_8,0)</f>
        <v>0</v>
      </c>
      <c r="H108" s="24"/>
      <c r="I108" s="53" t="s">
        <v>496</v>
      </c>
      <c r="J108" s="22"/>
      <c r="K108" s="24"/>
    </row>
    <row r="109" spans="1:17" ht="12.6" customHeight="1" x14ac:dyDescent="0.2">
      <c r="A109" s="16"/>
      <c r="C109" t="s">
        <v>805</v>
      </c>
      <c r="E109" s="25">
        <f>IF(E_11&lt;0,-E_11,0)</f>
        <v>0</v>
      </c>
      <c r="F109" s="49"/>
      <c r="G109" s="25">
        <f>IF(E_11&gt;0,E_11,0)</f>
        <v>0</v>
      </c>
      <c r="H109" s="24"/>
      <c r="I109" s="52" t="s">
        <v>502</v>
      </c>
      <c r="J109" s="22"/>
      <c r="K109" s="24"/>
    </row>
    <row r="110" spans="1:17" ht="12.6" customHeight="1" x14ac:dyDescent="0.2">
      <c r="A110" s="16"/>
      <c r="C110" s="1" t="s">
        <v>806</v>
      </c>
      <c r="E110" s="25">
        <f>IF(E_20&lt;0,-E_20,0)</f>
        <v>0</v>
      </c>
      <c r="F110" s="49"/>
      <c r="G110" s="25">
        <f>IF(E_20&gt;0,E_20,0)</f>
        <v>0</v>
      </c>
      <c r="H110" s="24"/>
      <c r="I110" s="52" t="s">
        <v>522</v>
      </c>
      <c r="J110" s="22"/>
      <c r="K110" s="24"/>
    </row>
    <row r="111" spans="1:17" ht="12.6" customHeight="1" x14ac:dyDescent="0.2">
      <c r="A111" s="16"/>
      <c r="C111" s="1" t="s">
        <v>807</v>
      </c>
      <c r="E111" s="25">
        <f>IF(E_26&gt;0,E_26,0)</f>
        <v>0</v>
      </c>
      <c r="F111" s="49"/>
      <c r="G111" s="25">
        <f>IF(E_26&lt;0,-E_26,0)</f>
        <v>0</v>
      </c>
      <c r="H111" s="24"/>
      <c r="I111" s="52" t="s">
        <v>538</v>
      </c>
      <c r="J111" s="22"/>
      <c r="K111" s="24"/>
    </row>
    <row r="112" spans="1:17" ht="12.6" customHeight="1" x14ac:dyDescent="0.2">
      <c r="A112" s="16"/>
      <c r="C112" s="1" t="s">
        <v>808</v>
      </c>
      <c r="E112" s="25">
        <f>IF(E_28&gt;0,E_28,0)</f>
        <v>0</v>
      </c>
      <c r="F112" s="49"/>
      <c r="G112" s="25">
        <f>IF(E_28&lt;0,-E_28,0)</f>
        <v>0</v>
      </c>
      <c r="H112" s="24"/>
      <c r="I112" s="52" t="s">
        <v>542</v>
      </c>
      <c r="J112" s="22"/>
      <c r="K112" s="24"/>
    </row>
    <row r="113" spans="1:12" ht="12.6" customHeight="1" thickBot="1" x14ac:dyDescent="0.25">
      <c r="A113" s="16"/>
      <c r="C113" t="s">
        <v>809</v>
      </c>
      <c r="E113" s="54">
        <f>IF(E_34&gt;0,E_34,0)</f>
        <v>0</v>
      </c>
      <c r="F113" s="49"/>
      <c r="G113" s="54">
        <f>IF(E_34&lt;0,-E_34,0)</f>
        <v>0</v>
      </c>
      <c r="H113" s="24"/>
      <c r="I113" s="51" t="s">
        <v>552</v>
      </c>
      <c r="J113" s="22"/>
      <c r="K113" s="43">
        <f>SUM(E107:E113)-SUM(G107:G113)</f>
        <v>0</v>
      </c>
      <c r="L113" s="122" t="s">
        <v>71</v>
      </c>
    </row>
    <row r="114" spans="1:12" ht="12.6" customHeight="1" x14ac:dyDescent="0.2">
      <c r="A114" s="16"/>
      <c r="B114" t="s">
        <v>810</v>
      </c>
      <c r="E114" s="24"/>
      <c r="F114" s="49"/>
      <c r="G114" s="24"/>
      <c r="H114" s="24"/>
      <c r="I114" s="49"/>
      <c r="J114" s="22"/>
    </row>
    <row r="115" spans="1:12" ht="12.6" customHeight="1" x14ac:dyDescent="0.2">
      <c r="A115" s="16"/>
      <c r="C115" t="s">
        <v>296</v>
      </c>
      <c r="E115" s="25">
        <f>B_20</f>
        <v>0</v>
      </c>
      <c r="F115" s="49"/>
      <c r="G115" s="24"/>
      <c r="H115" s="24"/>
      <c r="I115" s="53" t="s">
        <v>297</v>
      </c>
      <c r="J115" s="22"/>
    </row>
    <row r="116" spans="1:12" ht="12.6" customHeight="1" x14ac:dyDescent="0.2">
      <c r="A116" s="16"/>
      <c r="C116" t="s">
        <v>811</v>
      </c>
      <c r="E116" s="24"/>
      <c r="F116" s="49"/>
      <c r="G116" s="25">
        <f>C_3</f>
        <v>0</v>
      </c>
      <c r="H116" s="24"/>
      <c r="I116" s="53" t="s">
        <v>393</v>
      </c>
      <c r="J116" s="22"/>
      <c r="K116" s="24"/>
    </row>
    <row r="117" spans="1:12" ht="12.6" customHeight="1" x14ac:dyDescent="0.2">
      <c r="A117" s="16"/>
      <c r="C117" t="s">
        <v>812</v>
      </c>
      <c r="E117" s="25">
        <f>C_8</f>
        <v>0</v>
      </c>
      <c r="F117" s="49"/>
      <c r="G117" s="24"/>
      <c r="H117" s="24"/>
      <c r="I117" s="53" t="s">
        <v>411</v>
      </c>
      <c r="J117" s="22"/>
      <c r="K117" s="24"/>
    </row>
    <row r="118" spans="1:12" ht="12.6" customHeight="1" x14ac:dyDescent="0.2">
      <c r="A118" s="16"/>
      <c r="C118" t="s">
        <v>813</v>
      </c>
      <c r="E118" s="25">
        <f>E_57</f>
        <v>0</v>
      </c>
      <c r="F118" s="49"/>
      <c r="G118" s="24"/>
      <c r="H118" s="24"/>
      <c r="I118" s="52" t="s">
        <v>669</v>
      </c>
      <c r="J118" s="22"/>
      <c r="K118" s="24"/>
    </row>
    <row r="119" spans="1:12" ht="12.6" customHeight="1" x14ac:dyDescent="0.2">
      <c r="A119" s="16"/>
      <c r="C119" t="s">
        <v>814</v>
      </c>
      <c r="E119" s="25">
        <f>IF(E_13&lt;0,-E_13,0)</f>
        <v>0</v>
      </c>
      <c r="F119" s="49"/>
      <c r="G119" s="25">
        <f>IF(E_13&gt;0,E_13,0)</f>
        <v>0</v>
      </c>
      <c r="H119" s="24"/>
      <c r="I119" s="52" t="s">
        <v>506</v>
      </c>
      <c r="J119" s="22"/>
      <c r="K119" s="24"/>
    </row>
    <row r="120" spans="1:12" ht="12.6" customHeight="1" x14ac:dyDescent="0.2">
      <c r="A120" s="16"/>
      <c r="C120" s="1" t="s">
        <v>815</v>
      </c>
      <c r="E120" s="25">
        <f>IF(E_20b&lt;0,-E_20b,0)</f>
        <v>0</v>
      </c>
      <c r="F120" s="49"/>
      <c r="G120" s="25">
        <f>IF(E_20b&gt;0,E_20b,0)</f>
        <v>0</v>
      </c>
      <c r="H120" s="24"/>
      <c r="I120" s="52" t="s">
        <v>526</v>
      </c>
      <c r="J120" s="22"/>
      <c r="K120" s="24"/>
    </row>
    <row r="121" spans="1:12" ht="12.6" customHeight="1" thickBot="1" x14ac:dyDescent="0.25">
      <c r="A121" s="16"/>
      <c r="C121" t="s">
        <v>816</v>
      </c>
      <c r="E121" s="54">
        <f>IF(E_35&gt;0,E_35,0)</f>
        <v>0</v>
      </c>
      <c r="F121" s="49"/>
      <c r="G121" s="54">
        <f>IF(E_35&lt;0,-E_35,0)</f>
        <v>0</v>
      </c>
      <c r="H121" s="24"/>
      <c r="I121" s="55" t="s">
        <v>554</v>
      </c>
      <c r="J121" s="22"/>
      <c r="K121" s="43">
        <f>SUM(E115:E121)-SUM(G115:G121)</f>
        <v>0</v>
      </c>
      <c r="L121" s="122" t="s">
        <v>71</v>
      </c>
    </row>
    <row r="122" spans="1:12" ht="12.6" customHeight="1" x14ac:dyDescent="0.2">
      <c r="A122" s="16"/>
      <c r="B122" t="s">
        <v>817</v>
      </c>
      <c r="E122" s="24"/>
      <c r="F122" s="49"/>
      <c r="G122" s="24"/>
      <c r="H122" s="24"/>
      <c r="I122" s="49"/>
      <c r="J122" s="22"/>
      <c r="K122" s="24"/>
    </row>
    <row r="123" spans="1:12" ht="12.6" customHeight="1" thickBot="1" x14ac:dyDescent="0.25">
      <c r="A123" s="16"/>
      <c r="C123" s="85" t="s">
        <v>463</v>
      </c>
      <c r="E123" s="43">
        <f>D_1</f>
        <v>0</v>
      </c>
      <c r="F123" s="49"/>
      <c r="G123" s="24"/>
      <c r="H123" s="24"/>
      <c r="I123" s="51" t="s">
        <v>464</v>
      </c>
      <c r="J123" s="22"/>
      <c r="K123" s="43">
        <f>E123</f>
        <v>0</v>
      </c>
      <c r="L123" s="1" t="s">
        <v>71</v>
      </c>
    </row>
    <row r="124" spans="1:12" ht="12.6" customHeight="1" x14ac:dyDescent="0.2">
      <c r="B124" t="s">
        <v>429</v>
      </c>
      <c r="F124" s="44"/>
      <c r="G124" s="24"/>
      <c r="H124" s="24"/>
      <c r="I124" s="49"/>
      <c r="J124" s="22"/>
      <c r="K124" s="24"/>
    </row>
    <row r="125" spans="1:12" ht="12.6" customHeight="1" x14ac:dyDescent="0.2">
      <c r="C125" t="s">
        <v>429</v>
      </c>
      <c r="E125" s="25">
        <f>C_7</f>
        <v>0</v>
      </c>
      <c r="F125" s="49"/>
      <c r="G125" s="24"/>
      <c r="H125" s="24"/>
      <c r="I125" s="53" t="s">
        <v>419</v>
      </c>
      <c r="J125" s="22"/>
      <c r="K125" s="24"/>
    </row>
    <row r="126" spans="1:12" ht="12.6" customHeight="1" thickBot="1" x14ac:dyDescent="0.25">
      <c r="C126" t="s">
        <v>601</v>
      </c>
      <c r="E126" s="54">
        <f>E_60</f>
        <v>0</v>
      </c>
      <c r="F126" s="49"/>
      <c r="G126" s="24"/>
      <c r="H126" s="24"/>
      <c r="I126" s="55" t="s">
        <v>602</v>
      </c>
      <c r="J126" s="22"/>
      <c r="K126" s="43">
        <f>E125+E126</f>
        <v>0</v>
      </c>
      <c r="L126" s="1" t="s">
        <v>71</v>
      </c>
    </row>
    <row r="127" spans="1:12" ht="12.6" customHeight="1" x14ac:dyDescent="0.2">
      <c r="B127" t="s">
        <v>818</v>
      </c>
      <c r="E127" s="24"/>
      <c r="F127" s="49"/>
      <c r="G127" s="24"/>
      <c r="H127" s="24"/>
      <c r="I127" s="49"/>
      <c r="J127" s="22"/>
      <c r="K127" s="24"/>
    </row>
    <row r="128" spans="1:12" ht="12.6" customHeight="1" thickBot="1" x14ac:dyDescent="0.25">
      <c r="C128" s="1" t="s">
        <v>584</v>
      </c>
      <c r="E128" s="43">
        <f>E_47</f>
        <v>0</v>
      </c>
      <c r="F128" s="49"/>
      <c r="G128" s="24"/>
      <c r="H128" s="24"/>
      <c r="I128" s="51" t="s">
        <v>585</v>
      </c>
      <c r="J128" s="22"/>
      <c r="K128" s="43">
        <f>E128</f>
        <v>0</v>
      </c>
      <c r="L128" s="1" t="s">
        <v>71</v>
      </c>
    </row>
    <row r="129" spans="2:13" ht="12.6" customHeight="1" x14ac:dyDescent="0.2">
      <c r="B129" t="s">
        <v>819</v>
      </c>
      <c r="C129" s="1"/>
      <c r="E129" s="24"/>
      <c r="F129" s="49"/>
      <c r="I129" s="49"/>
      <c r="J129" s="22"/>
    </row>
    <row r="130" spans="2:13" ht="12.6" customHeight="1" x14ac:dyDescent="0.2">
      <c r="C130" s="1" t="s">
        <v>820</v>
      </c>
      <c r="F130" s="49"/>
      <c r="G130" s="25">
        <f>C_1</f>
        <v>0</v>
      </c>
      <c r="H130" s="24"/>
      <c r="I130" s="53" t="s">
        <v>379</v>
      </c>
      <c r="J130" s="22"/>
    </row>
    <row r="131" spans="2:13" ht="12.6" customHeight="1" x14ac:dyDescent="0.2">
      <c r="C131" s="1" t="s">
        <v>821</v>
      </c>
      <c r="F131" s="49"/>
      <c r="G131" s="25">
        <f>C_9</f>
        <v>0</v>
      </c>
      <c r="H131" s="24"/>
      <c r="I131" s="53" t="s">
        <v>384</v>
      </c>
      <c r="J131" s="22"/>
      <c r="L131" s="136"/>
    </row>
    <row r="132" spans="2:13" ht="12.6" customHeight="1" x14ac:dyDescent="0.2">
      <c r="C132" s="1" t="s">
        <v>822</v>
      </c>
      <c r="F132" s="49"/>
      <c r="G132" s="25">
        <f>C_11</f>
        <v>0</v>
      </c>
      <c r="H132" s="24"/>
      <c r="I132" s="53" t="s">
        <v>823</v>
      </c>
      <c r="J132" s="22"/>
      <c r="L132" s="136"/>
    </row>
    <row r="133" spans="2:13" ht="12.6" customHeight="1" x14ac:dyDescent="0.2">
      <c r="C133" t="s">
        <v>824</v>
      </c>
      <c r="E133" s="25">
        <f>IF(E_22&gt;0,E_22,0)</f>
        <v>0</v>
      </c>
      <c r="F133" s="49"/>
      <c r="G133" s="25">
        <f>IF(E_22&lt;0,-E_22,0)</f>
        <v>0</v>
      </c>
      <c r="H133" s="24"/>
      <c r="I133" s="52" t="s">
        <v>530</v>
      </c>
      <c r="J133" s="22"/>
    </row>
    <row r="134" spans="2:13" ht="12.6" customHeight="1" thickBot="1" x14ac:dyDescent="0.25">
      <c r="C134" t="s">
        <v>825</v>
      </c>
      <c r="E134" s="54">
        <f>IF(E_24&gt;0,E_24,0)</f>
        <v>0</v>
      </c>
      <c r="F134" s="49"/>
      <c r="G134" s="54">
        <f>IF(E_24&lt;0,-E_24,0)</f>
        <v>0</v>
      </c>
      <c r="H134" s="24"/>
      <c r="I134" s="55" t="s">
        <v>534</v>
      </c>
      <c r="J134" s="22"/>
      <c r="K134" s="43">
        <f>SUM(E130:E134)-SUM(G130:G134)</f>
        <v>0</v>
      </c>
      <c r="L134" s="1" t="s">
        <v>71</v>
      </c>
    </row>
    <row r="135" spans="2:13" ht="12.6" customHeight="1" x14ac:dyDescent="0.2">
      <c r="B135" t="s">
        <v>826</v>
      </c>
      <c r="E135" s="24"/>
      <c r="F135" s="49"/>
      <c r="G135" s="24"/>
      <c r="H135" s="24"/>
      <c r="I135" s="49"/>
      <c r="J135" s="22"/>
      <c r="K135" s="24"/>
    </row>
    <row r="136" spans="2:13" ht="12.6" customHeight="1" x14ac:dyDescent="0.2">
      <c r="C136" t="s">
        <v>827</v>
      </c>
      <c r="E136" s="24"/>
      <c r="F136" s="49"/>
      <c r="G136" s="24">
        <f>D_2A</f>
        <v>0</v>
      </c>
      <c r="H136" s="24"/>
      <c r="I136" s="53" t="s">
        <v>828</v>
      </c>
      <c r="J136" s="22"/>
      <c r="K136" s="24"/>
    </row>
    <row r="137" spans="2:13" ht="12.6" customHeight="1" x14ac:dyDescent="0.2">
      <c r="C137" s="1" t="s">
        <v>829</v>
      </c>
      <c r="E137" s="24"/>
      <c r="F137" s="49"/>
      <c r="G137" s="24" cm="1">
        <f t="array" ref="G137">D_12</f>
        <v>0</v>
      </c>
      <c r="H137" s="24"/>
      <c r="I137" s="53" t="s">
        <v>1019</v>
      </c>
      <c r="J137" s="22"/>
      <c r="K137" s="24"/>
    </row>
    <row r="138" spans="2:13" ht="12.6" customHeight="1" thickBot="1" x14ac:dyDescent="0.25">
      <c r="C138" s="1" t="s">
        <v>830</v>
      </c>
      <c r="E138" s="24"/>
      <c r="F138" s="49"/>
      <c r="G138" s="43" cm="1">
        <f t="array" ref="G138">D_13</f>
        <v>0</v>
      </c>
      <c r="H138" s="24"/>
      <c r="I138" s="55" t="s">
        <v>1021</v>
      </c>
      <c r="J138" s="22"/>
      <c r="K138" s="43">
        <f>SUM(E136:E138)-SUM(G136:G138)</f>
        <v>0</v>
      </c>
    </row>
    <row r="139" spans="2:13" ht="12.6" customHeight="1" x14ac:dyDescent="0.2">
      <c r="B139" s="1" t="s">
        <v>831</v>
      </c>
      <c r="C139" s="58"/>
      <c r="D139" s="1"/>
      <c r="E139" s="24"/>
      <c r="F139" s="49"/>
      <c r="G139" s="24"/>
      <c r="H139" s="24"/>
      <c r="I139" s="49"/>
      <c r="J139" s="22"/>
      <c r="K139" s="24"/>
    </row>
    <row r="140" spans="2:13" ht="12.6" customHeight="1" x14ac:dyDescent="0.2">
      <c r="B140" s="1"/>
      <c r="C140" s="85" t="s">
        <v>1032</v>
      </c>
      <c r="D140" s="1"/>
      <c r="E140" s="24">
        <f>B_31</f>
        <v>0</v>
      </c>
      <c r="F140" s="49"/>
      <c r="G140" s="24"/>
      <c r="H140" s="24"/>
      <c r="I140" s="49" t="s">
        <v>284</v>
      </c>
      <c r="J140" s="22"/>
      <c r="K140" s="24"/>
      <c r="M140" s="1" t="s">
        <v>1010</v>
      </c>
    </row>
    <row r="141" spans="2:13" ht="12.6" customHeight="1" x14ac:dyDescent="0.2">
      <c r="B141" s="1"/>
      <c r="C141" s="58" t="s">
        <v>1011</v>
      </c>
      <c r="D141" s="1"/>
      <c r="E141" s="24">
        <f>E_80</f>
        <v>0</v>
      </c>
      <c r="F141" s="49"/>
      <c r="G141" s="29" t="s">
        <v>1012</v>
      </c>
      <c r="H141" s="24"/>
      <c r="I141" s="49" t="s">
        <v>622</v>
      </c>
      <c r="J141" s="22"/>
      <c r="K141" s="24"/>
      <c r="M141" s="1"/>
    </row>
    <row r="142" spans="2:13" ht="12.6" customHeight="1" x14ac:dyDescent="0.2">
      <c r="B142" s="1"/>
      <c r="C142" s="58" t="s">
        <v>832</v>
      </c>
      <c r="D142" s="1"/>
      <c r="E142" s="24">
        <f>E_83</f>
        <v>0</v>
      </c>
      <c r="F142" s="49"/>
      <c r="G142" s="24"/>
      <c r="H142" s="24"/>
      <c r="I142" s="49" t="s">
        <v>625</v>
      </c>
      <c r="J142" s="22"/>
      <c r="K142" s="24"/>
    </row>
    <row r="143" spans="2:13" ht="12.6" customHeight="1" thickBot="1" x14ac:dyDescent="0.25">
      <c r="B143" s="1"/>
      <c r="C143" s="58" t="s">
        <v>833</v>
      </c>
      <c r="D143" s="1"/>
      <c r="E143" s="43">
        <f>-E_79</f>
        <v>0</v>
      </c>
      <c r="F143" s="49"/>
      <c r="G143" s="24"/>
      <c r="H143" s="24"/>
      <c r="I143" s="49" t="s">
        <v>595</v>
      </c>
      <c r="J143" s="22"/>
      <c r="K143" s="43">
        <f>SUM(E140:E143)</f>
        <v>0</v>
      </c>
      <c r="M143" s="137" t="s">
        <v>71</v>
      </c>
    </row>
    <row r="144" spans="2:13" ht="12.6" customHeight="1" x14ac:dyDescent="0.2">
      <c r="B144" s="139" t="s">
        <v>834</v>
      </c>
      <c r="C144" s="140"/>
      <c r="D144" s="139"/>
      <c r="E144" s="24"/>
      <c r="F144" s="49"/>
      <c r="G144" s="24"/>
      <c r="H144" s="24"/>
      <c r="I144" s="49"/>
      <c r="J144" s="22"/>
      <c r="K144" s="24"/>
      <c r="M144" s="137"/>
    </row>
    <row r="145" spans="1:13" ht="12.6" customHeight="1" thickBot="1" x14ac:dyDescent="0.25">
      <c r="B145" s="139"/>
      <c r="C145" s="140" t="s">
        <v>835</v>
      </c>
      <c r="D145" s="139"/>
      <c r="E145" s="43">
        <f>E_92</f>
        <v>0</v>
      </c>
      <c r="F145" s="49"/>
      <c r="G145" s="24"/>
      <c r="H145" s="24"/>
      <c r="I145" s="51" t="s">
        <v>633</v>
      </c>
      <c r="J145" s="22"/>
      <c r="K145" s="43">
        <f>E145</f>
        <v>0</v>
      </c>
      <c r="M145" s="139" t="s">
        <v>836</v>
      </c>
    </row>
    <row r="146" spans="1:13" ht="12.6" customHeight="1" x14ac:dyDescent="0.2">
      <c r="B146" t="s">
        <v>837</v>
      </c>
      <c r="E146" s="24"/>
      <c r="F146" s="49"/>
      <c r="G146" s="24"/>
      <c r="H146" s="24"/>
      <c r="I146" s="49"/>
      <c r="J146" s="22"/>
      <c r="K146" s="24"/>
    </row>
    <row r="147" spans="1:13" ht="12.6" customHeight="1" x14ac:dyDescent="0.2">
      <c r="C147" t="s">
        <v>282</v>
      </c>
      <c r="E147" s="24"/>
      <c r="F147" s="49"/>
      <c r="G147" s="25">
        <f>-B_16</f>
        <v>0</v>
      </c>
      <c r="H147" s="24"/>
      <c r="I147" s="53" t="s">
        <v>283</v>
      </c>
      <c r="J147" s="22"/>
      <c r="K147" s="24"/>
    </row>
    <row r="148" spans="1:13" ht="12.6" customHeight="1" x14ac:dyDescent="0.2">
      <c r="C148" s="1" t="s">
        <v>838</v>
      </c>
      <c r="E148" s="24"/>
      <c r="F148" s="49"/>
      <c r="G148" s="26">
        <f>C_4</f>
        <v>0</v>
      </c>
      <c r="H148" s="24"/>
      <c r="I148" s="52" t="s">
        <v>398</v>
      </c>
      <c r="J148" s="22"/>
      <c r="K148" s="24"/>
    </row>
    <row r="149" spans="1:13" ht="12.6" customHeight="1" thickBot="1" x14ac:dyDescent="0.25">
      <c r="C149" s="1" t="s">
        <v>839</v>
      </c>
      <c r="E149" s="43">
        <f>IF(E_29&gt;0,E_29,0)</f>
        <v>0</v>
      </c>
      <c r="F149" s="49"/>
      <c r="G149" s="54">
        <f>IF(E_29&lt;0,-E_29,0)</f>
        <v>0</v>
      </c>
      <c r="H149" s="24"/>
      <c r="I149" s="55" t="s">
        <v>544</v>
      </c>
      <c r="J149" s="22"/>
      <c r="K149" s="43">
        <f>SUM(E147:E149)-SUM(G147:G149)</f>
        <v>0</v>
      </c>
    </row>
    <row r="150" spans="1:13" ht="6" customHeight="1" x14ac:dyDescent="0.2">
      <c r="C150" s="1"/>
      <c r="E150" s="24"/>
      <c r="F150" s="49"/>
      <c r="G150" s="24"/>
      <c r="H150" s="24"/>
      <c r="I150" s="49"/>
      <c r="J150" s="22"/>
      <c r="K150" s="24"/>
    </row>
    <row r="151" spans="1:13" x14ac:dyDescent="0.2">
      <c r="A151" s="16" t="s">
        <v>840</v>
      </c>
      <c r="E151" s="24"/>
      <c r="F151" s="49"/>
      <c r="G151" s="24"/>
      <c r="H151" s="24"/>
      <c r="I151" s="49"/>
      <c r="J151" s="22"/>
    </row>
    <row r="152" spans="1:13" x14ac:dyDescent="0.2">
      <c r="A152" s="36"/>
      <c r="B152" t="s">
        <v>841</v>
      </c>
      <c r="E152" s="24"/>
      <c r="F152" s="49"/>
      <c r="G152" s="24"/>
      <c r="H152" s="24"/>
      <c r="I152" s="49"/>
      <c r="J152" s="22"/>
    </row>
    <row r="153" spans="1:13" x14ac:dyDescent="0.2">
      <c r="A153" s="36"/>
      <c r="C153" t="s">
        <v>561</v>
      </c>
      <c r="E153" s="25">
        <f>E_39</f>
        <v>0</v>
      </c>
      <c r="F153" s="49"/>
      <c r="G153" s="24"/>
      <c r="H153" s="24"/>
      <c r="I153" s="53" t="s">
        <v>562</v>
      </c>
      <c r="J153" s="22"/>
    </row>
    <row r="154" spans="1:13" ht="13.5" thickBot="1" x14ac:dyDescent="0.25">
      <c r="A154" s="36"/>
      <c r="C154" t="s">
        <v>568</v>
      </c>
      <c r="E154" s="54">
        <f>IF(E_41&gt;0,E_41,0)</f>
        <v>0</v>
      </c>
      <c r="F154" s="49"/>
      <c r="G154" s="43">
        <f>IF(E_41&lt;0,-E_41,0)</f>
        <v>0</v>
      </c>
      <c r="H154" s="24"/>
      <c r="I154" s="55" t="s">
        <v>569</v>
      </c>
      <c r="J154" s="22"/>
      <c r="K154" s="43">
        <f>SUM(E153:E154)-SUM(G153:G154)</f>
        <v>0</v>
      </c>
    </row>
    <row r="155" spans="1:13" x14ac:dyDescent="0.2">
      <c r="A155" s="36"/>
      <c r="B155" t="s">
        <v>842</v>
      </c>
      <c r="E155" s="24"/>
      <c r="F155" s="49"/>
      <c r="G155" s="24"/>
      <c r="H155" s="24"/>
      <c r="I155" s="49"/>
      <c r="J155" s="22"/>
    </row>
    <row r="156" spans="1:13" x14ac:dyDescent="0.2">
      <c r="A156" s="36"/>
      <c r="C156" s="1" t="s">
        <v>572</v>
      </c>
      <c r="E156" s="25">
        <f>E_42</f>
        <v>0</v>
      </c>
      <c r="F156" s="49"/>
      <c r="I156" s="53" t="s">
        <v>573</v>
      </c>
      <c r="J156" s="22"/>
      <c r="K156" s="24"/>
    </row>
    <row r="157" spans="1:13" x14ac:dyDescent="0.2">
      <c r="A157" s="36"/>
      <c r="C157" s="1" t="s">
        <v>843</v>
      </c>
      <c r="E157" s="26">
        <f>C_5</f>
        <v>0</v>
      </c>
      <c r="F157" s="49"/>
      <c r="I157" s="52" t="s">
        <v>400</v>
      </c>
      <c r="J157" s="22"/>
      <c r="K157" s="24"/>
    </row>
    <row r="158" spans="1:13" ht="13.5" thickBot="1" x14ac:dyDescent="0.25">
      <c r="A158" s="36"/>
      <c r="C158" s="1" t="s">
        <v>844</v>
      </c>
      <c r="E158" s="54">
        <f>IF(E_14&lt;0,-E_14,0)</f>
        <v>0</v>
      </c>
      <c r="F158" s="49"/>
      <c r="G158" s="43">
        <f>IF(E_14&gt;0,E_14,0)</f>
        <v>0</v>
      </c>
      <c r="I158" s="55" t="s">
        <v>508</v>
      </c>
      <c r="J158" s="22"/>
      <c r="K158" s="43">
        <f>SUM(E156:E158)-SUM(G156:G158)</f>
        <v>0</v>
      </c>
    </row>
    <row r="159" spans="1:13" x14ac:dyDescent="0.2">
      <c r="A159" s="36"/>
      <c r="B159" t="s">
        <v>845</v>
      </c>
      <c r="E159" s="24"/>
      <c r="F159" s="49"/>
      <c r="G159" s="24"/>
      <c r="H159" s="24"/>
      <c r="I159" s="49"/>
      <c r="J159" s="22"/>
    </row>
    <row r="160" spans="1:13" x14ac:dyDescent="0.2">
      <c r="A160" s="36"/>
      <c r="C160" t="s">
        <v>557</v>
      </c>
      <c r="E160" s="24"/>
      <c r="F160" s="49"/>
      <c r="G160" s="25">
        <f>E_37</f>
        <v>0</v>
      </c>
      <c r="H160" s="24"/>
      <c r="I160" s="53" t="s">
        <v>558</v>
      </c>
      <c r="J160" s="22"/>
    </row>
    <row r="161" spans="1:11" ht="13.5" thickBot="1" x14ac:dyDescent="0.25">
      <c r="A161" s="36"/>
      <c r="C161" t="s">
        <v>846</v>
      </c>
      <c r="E161" s="24"/>
      <c r="F161" s="49"/>
      <c r="G161" s="43">
        <f>E_43</f>
        <v>0</v>
      </c>
      <c r="H161" s="24"/>
      <c r="I161" s="51" t="s">
        <v>575</v>
      </c>
      <c r="J161" s="22"/>
      <c r="K161" s="43">
        <f>SUM(E160:E161)-SUM(G160:G161)</f>
        <v>0</v>
      </c>
    </row>
    <row r="162" spans="1:11" x14ac:dyDescent="0.2">
      <c r="E162" s="24"/>
      <c r="F162" s="49"/>
      <c r="G162" s="24"/>
      <c r="H162" s="24"/>
      <c r="I162" s="49"/>
      <c r="J162" s="22"/>
    </row>
    <row r="163" spans="1:11" ht="13.5" thickBot="1" x14ac:dyDescent="0.25">
      <c r="D163" t="s">
        <v>402</v>
      </c>
      <c r="E163" s="34">
        <f>SUM(E9:E161)</f>
        <v>0</v>
      </c>
      <c r="F163" s="40"/>
      <c r="G163" s="34">
        <f>SUM(G9:G161)-G76</f>
        <v>0</v>
      </c>
      <c r="H163" s="24"/>
      <c r="I163" s="49"/>
      <c r="J163" s="22"/>
      <c r="K163" s="34">
        <f>ROUND(E163-G163,2)</f>
        <v>0</v>
      </c>
    </row>
    <row r="164" spans="1:11" ht="13.5" thickTop="1" x14ac:dyDescent="0.2">
      <c r="E164" s="24"/>
      <c r="F164" s="40"/>
      <c r="G164" s="24"/>
      <c r="H164" s="24"/>
      <c r="I164" s="49"/>
      <c r="J164" s="22"/>
    </row>
    <row r="165" spans="1:11" x14ac:dyDescent="0.2">
      <c r="E165" s="24"/>
      <c r="F165" s="40"/>
      <c r="G165" s="24"/>
      <c r="H165" s="24"/>
      <c r="I165" s="49"/>
      <c r="J165" s="22"/>
    </row>
    <row r="166" spans="1:11" x14ac:dyDescent="0.2">
      <c r="A166" s="42" t="s">
        <v>847</v>
      </c>
      <c r="E166" s="24"/>
      <c r="F166" s="40"/>
      <c r="G166" s="24"/>
      <c r="H166" s="24"/>
      <c r="I166" s="49"/>
      <c r="J166" s="22"/>
    </row>
    <row r="167" spans="1:11" x14ac:dyDescent="0.2">
      <c r="B167" s="65" t="s">
        <v>848</v>
      </c>
      <c r="E167" s="41"/>
      <c r="F167" s="22"/>
      <c r="G167" s="24"/>
      <c r="H167" s="24"/>
      <c r="I167" s="22"/>
      <c r="J167" s="22"/>
    </row>
    <row r="168" spans="1:11" x14ac:dyDescent="0.2">
      <c r="C168" t="s">
        <v>849</v>
      </c>
      <c r="E168" s="41" t="str">
        <f>IF(K163=ROUND(A_1+'Exh A'!I13+'Exh A'!I30,2),"OK","ERROR")</f>
        <v>OK</v>
      </c>
      <c r="F168" s="22"/>
      <c r="G168" s="41" t="str">
        <f>IF(E168="OK","-","OFF BY")</f>
        <v>-</v>
      </c>
      <c r="H168" s="24"/>
      <c r="J168" s="22"/>
      <c r="K168" s="67" t="str">
        <f>IF(E168="OK","-",ROUND(A_1+'Exh A'!I13+'Exh A'!I30-K163,2))</f>
        <v>-</v>
      </c>
    </row>
    <row r="169" spans="1:11" x14ac:dyDescent="0.2">
      <c r="E169" s="56"/>
      <c r="F169" s="22"/>
      <c r="H169" s="24"/>
      <c r="I169" s="22"/>
      <c r="J169" s="22"/>
    </row>
    <row r="170" spans="1:11" x14ac:dyDescent="0.2">
      <c r="A170" s="42" t="s">
        <v>156</v>
      </c>
      <c r="E170" s="24"/>
      <c r="F170" s="22"/>
      <c r="G170" s="24"/>
      <c r="H170" s="24"/>
      <c r="I170" s="22"/>
      <c r="J170" s="22"/>
    </row>
    <row r="171" spans="1:11" x14ac:dyDescent="0.2">
      <c r="B171" s="22"/>
      <c r="E171" s="24"/>
      <c r="F171" s="22"/>
      <c r="G171" s="24"/>
      <c r="H171" s="24"/>
      <c r="I171" s="22"/>
      <c r="J171" s="22"/>
    </row>
    <row r="172" spans="1:11" x14ac:dyDescent="0.2">
      <c r="A172" s="189" t="s">
        <v>157</v>
      </c>
      <c r="B172" s="189"/>
      <c r="C172" t="s">
        <v>850</v>
      </c>
      <c r="E172" s="24"/>
      <c r="F172" s="22"/>
      <c r="G172" s="24"/>
      <c r="H172" s="24"/>
      <c r="I172" s="22"/>
      <c r="J172" s="22"/>
    </row>
    <row r="173" spans="1:11" x14ac:dyDescent="0.2">
      <c r="B173" s="22"/>
      <c r="E173" s="24"/>
      <c r="F173" s="22"/>
      <c r="G173" s="24"/>
      <c r="H173" s="24"/>
      <c r="I173" s="22"/>
      <c r="J173" s="22"/>
    </row>
    <row r="174" spans="1:11" x14ac:dyDescent="0.2">
      <c r="A174" s="189" t="s">
        <v>165</v>
      </c>
      <c r="B174" s="189"/>
      <c r="C174" t="s">
        <v>851</v>
      </c>
      <c r="E174" s="24"/>
      <c r="F174" s="22"/>
      <c r="G174" s="24"/>
      <c r="H174" s="24"/>
      <c r="I174" s="22"/>
      <c r="J174" s="22"/>
    </row>
    <row r="175" spans="1:11" x14ac:dyDescent="0.2">
      <c r="A175" s="145"/>
      <c r="B175" s="145"/>
      <c r="C175" t="s">
        <v>852</v>
      </c>
      <c r="E175" s="24"/>
      <c r="F175" s="22"/>
      <c r="G175" s="24"/>
      <c r="H175" s="24"/>
      <c r="I175" s="22"/>
      <c r="J175" s="22"/>
    </row>
    <row r="176" spans="1:11" x14ac:dyDescent="0.2">
      <c r="C176" s="1"/>
      <c r="D176" s="59" t="s">
        <v>853</v>
      </c>
      <c r="E176" s="62" t="s">
        <v>854</v>
      </c>
      <c r="F176" s="61"/>
      <c r="G176" s="62" t="s">
        <v>855</v>
      </c>
      <c r="H176" s="24"/>
      <c r="I176" s="22"/>
      <c r="J176" s="22"/>
    </row>
    <row r="177" spans="4:10" x14ac:dyDescent="0.2">
      <c r="D177" s="22" t="s">
        <v>856</v>
      </c>
      <c r="E177" s="60" t="s">
        <v>857</v>
      </c>
      <c r="F177" s="22"/>
      <c r="G177" s="60" t="s">
        <v>858</v>
      </c>
      <c r="H177" s="24"/>
      <c r="I177" s="22"/>
      <c r="J177" s="22"/>
    </row>
    <row r="178" spans="4:10" x14ac:dyDescent="0.2">
      <c r="D178" s="22" t="s">
        <v>859</v>
      </c>
      <c r="E178" s="60" t="s">
        <v>858</v>
      </c>
      <c r="F178" s="22"/>
      <c r="G178" s="60" t="s">
        <v>857</v>
      </c>
      <c r="H178" s="24"/>
      <c r="I178" s="22"/>
      <c r="J178" s="22"/>
    </row>
    <row r="179" spans="4:10" x14ac:dyDescent="0.2">
      <c r="D179" s="22" t="s">
        <v>860</v>
      </c>
      <c r="E179" s="60" t="s">
        <v>857</v>
      </c>
      <c r="F179" s="22"/>
      <c r="G179" s="60" t="s">
        <v>858</v>
      </c>
      <c r="H179" s="24"/>
      <c r="I179" s="22"/>
      <c r="J179" s="22"/>
    </row>
    <row r="180" spans="4:10" x14ac:dyDescent="0.2">
      <c r="D180" s="22" t="s">
        <v>861</v>
      </c>
      <c r="E180" s="60" t="s">
        <v>858</v>
      </c>
      <c r="F180" s="22"/>
      <c r="G180" s="60" t="s">
        <v>857</v>
      </c>
      <c r="H180" s="24"/>
      <c r="I180" s="22"/>
      <c r="J180" s="22"/>
    </row>
    <row r="181" spans="4:10" x14ac:dyDescent="0.2">
      <c r="D181" s="22" t="s">
        <v>862</v>
      </c>
      <c r="E181" s="60" t="s">
        <v>863</v>
      </c>
      <c r="F181" s="22"/>
      <c r="G181" s="60" t="s">
        <v>858</v>
      </c>
      <c r="H181" s="24"/>
      <c r="I181" s="22"/>
      <c r="J181" s="22"/>
    </row>
    <row r="182" spans="4:10" x14ac:dyDescent="0.2">
      <c r="E182" s="24"/>
      <c r="F182" s="22"/>
      <c r="G182" s="24"/>
      <c r="H182" s="24"/>
      <c r="I182" s="22"/>
      <c r="J182" s="22"/>
    </row>
    <row r="183" spans="4:10" x14ac:dyDescent="0.2">
      <c r="E183" s="24"/>
      <c r="F183" s="22"/>
      <c r="G183" s="24"/>
      <c r="H183" s="24"/>
      <c r="I183" s="22"/>
      <c r="J183" s="22"/>
    </row>
    <row r="184" spans="4:10" x14ac:dyDescent="0.2">
      <c r="E184" s="24"/>
      <c r="F184" s="22"/>
      <c r="G184" s="24"/>
      <c r="H184" s="24"/>
      <c r="I184" s="22"/>
      <c r="J184" s="22"/>
    </row>
    <row r="185" spans="4:10" x14ac:dyDescent="0.2">
      <c r="E185" s="24"/>
      <c r="F185" s="22"/>
      <c r="G185" s="24"/>
      <c r="H185" s="24"/>
      <c r="I185" s="22"/>
      <c r="J185" s="22"/>
    </row>
    <row r="186" spans="4:10" x14ac:dyDescent="0.2">
      <c r="E186" s="24"/>
      <c r="F186" s="22"/>
      <c r="G186" s="24"/>
      <c r="H186" s="24"/>
      <c r="I186" s="22"/>
      <c r="J186" s="22"/>
    </row>
    <row r="187" spans="4:10" x14ac:dyDescent="0.2">
      <c r="E187" s="24"/>
      <c r="F187" s="22"/>
      <c r="G187" s="24"/>
      <c r="H187" s="24"/>
      <c r="I187" s="22"/>
      <c r="J187" s="22"/>
    </row>
    <row r="188" spans="4:10" x14ac:dyDescent="0.2">
      <c r="E188" s="24"/>
      <c r="F188" s="22"/>
      <c r="G188" s="24"/>
      <c r="H188" s="24"/>
      <c r="I188" s="22"/>
      <c r="J188" s="22"/>
    </row>
    <row r="189" spans="4:10" x14ac:dyDescent="0.2">
      <c r="E189" s="24"/>
      <c r="F189" s="22"/>
      <c r="G189" s="24"/>
      <c r="H189" s="24"/>
      <c r="I189" s="22"/>
      <c r="J189" s="22"/>
    </row>
    <row r="190" spans="4:10" x14ac:dyDescent="0.2">
      <c r="E190" s="24"/>
      <c r="F190" s="22"/>
      <c r="G190" s="24"/>
      <c r="H190" s="24"/>
      <c r="I190" s="22"/>
      <c r="J190" s="22"/>
    </row>
    <row r="191" spans="4:10" x14ac:dyDescent="0.2">
      <c r="E191" s="24"/>
      <c r="F191" s="22"/>
      <c r="G191" s="24"/>
      <c r="H191" s="24"/>
      <c r="I191" s="22"/>
      <c r="J191" s="22"/>
    </row>
    <row r="192" spans="4:10" x14ac:dyDescent="0.2">
      <c r="E192" s="24"/>
      <c r="F192" s="22"/>
      <c r="G192" s="24"/>
      <c r="H192" s="24"/>
      <c r="I192" s="22"/>
      <c r="J192" s="22"/>
    </row>
    <row r="193" spans="6:10" x14ac:dyDescent="0.2">
      <c r="F193" s="22"/>
      <c r="I193" s="22"/>
      <c r="J193" s="22"/>
    </row>
    <row r="194" spans="6:10" x14ac:dyDescent="0.2">
      <c r="F194" s="22"/>
      <c r="I194" s="22"/>
      <c r="J194" s="22"/>
    </row>
    <row r="195" spans="6:10" x14ac:dyDescent="0.2">
      <c r="F195" s="22"/>
      <c r="I195" s="22"/>
      <c r="J195" s="22"/>
    </row>
    <row r="196" spans="6:10" x14ac:dyDescent="0.2">
      <c r="F196" s="22"/>
      <c r="I196" s="22"/>
      <c r="J196" s="22"/>
    </row>
    <row r="197" spans="6:10" x14ac:dyDescent="0.2">
      <c r="F197" s="22"/>
      <c r="I197" s="22"/>
      <c r="J197" s="22"/>
    </row>
    <row r="198" spans="6:10" x14ac:dyDescent="0.2">
      <c r="F198" s="22"/>
      <c r="I198" s="22"/>
      <c r="J198" s="22"/>
    </row>
    <row r="199" spans="6:10" x14ac:dyDescent="0.2">
      <c r="F199" s="22"/>
      <c r="I199" s="22"/>
      <c r="J199" s="22"/>
    </row>
    <row r="200" spans="6:10" x14ac:dyDescent="0.2">
      <c r="F200" s="22"/>
      <c r="I200" s="22"/>
      <c r="J200" s="22"/>
    </row>
  </sheetData>
  <sheetProtection algorithmName="SHA-512" hashValue="U4P3WVjfhpLB18mJZmwAo6lvchh7PBaGSVkqNXXKJLkJR/krmelAaAc0MFXbT6H4Jc2wqXh1OM8xdSk19ezkrg==" saltValue="jNLZmyFx+7t2A+Jl8yOBKA==" spinCount="100000" sheet="1" autoFilter="0"/>
  <mergeCells count="2">
    <mergeCell ref="A174:B174"/>
    <mergeCell ref="A172:B172"/>
  </mergeCells>
  <phoneticPr fontId="0" type="noConversion"/>
  <conditionalFormatting sqref="E167:E168">
    <cfRule type="cellIs" dxfId="3" priority="1" stopIfTrue="1" operator="equal">
      <formula>"ERROR"</formula>
    </cfRule>
  </conditionalFormatting>
  <conditionalFormatting sqref="G168">
    <cfRule type="cellIs" dxfId="2" priority="2" stopIfTrue="1" operator="equal">
      <formula>"OFF BY"</formula>
    </cfRule>
  </conditionalFormatting>
  <conditionalFormatting sqref="K168">
    <cfRule type="cellIs" dxfId="1" priority="3" stopIfTrue="1" operator="notEqual">
      <formula>"-"</formula>
    </cfRule>
  </conditionalFormatting>
  <pageMargins left="0.55000000000000004" right="0.55000000000000004" top="0.45" bottom="0.45" header="0.5" footer="0.2"/>
  <pageSetup scale="94" orientation="landscape" r:id="rId1"/>
  <headerFooter alignWithMargins="0">
    <oddFooter>Page &amp;P of &amp;N</oddFooter>
  </headerFooter>
  <rowBreaks count="3" manualBreakCount="3">
    <brk id="48" max="16383" man="1"/>
    <brk id="96" max="16383" man="1"/>
    <brk id="1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a921d8-526c-43e3-8a93-f9bf9ad79650" xsi:nil="true"/>
    <lcf76f155ced4ddcb4097134ff3c332f xmlns="3ec2570d-002d-43d9-b4d8-cd927734fd5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AD092CE268B4A9CFCAE20B18605CD" ma:contentTypeVersion="13" ma:contentTypeDescription="Create a new document." ma:contentTypeScope="" ma:versionID="816be3f1d84d830574610c903672ebdf">
  <xsd:schema xmlns:xsd="http://www.w3.org/2001/XMLSchema" xmlns:xs="http://www.w3.org/2001/XMLSchema" xmlns:p="http://schemas.microsoft.com/office/2006/metadata/properties" xmlns:ns2="3ec2570d-002d-43d9-b4d8-cd927734fd5c" xmlns:ns3="f1a921d8-526c-43e3-8a93-f9bf9ad79650" targetNamespace="http://schemas.microsoft.com/office/2006/metadata/properties" ma:root="true" ma:fieldsID="9dcbd1f1d7f7020188508df2d0d28f0b" ns2:_="" ns3:_="">
    <xsd:import namespace="3ec2570d-002d-43d9-b4d8-cd927734fd5c"/>
    <xsd:import namespace="f1a921d8-526c-43e3-8a93-f9bf9ad796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2570d-002d-43d9-b4d8-cd927734fd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73cfa9a-e889-43e5-9e7e-099e1654c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921d8-526c-43e3-8a93-f9bf9ad7965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d7866d6-2ba6-4cf9-bf73-e51f30d4693c}" ma:internalName="TaxCatchAll" ma:showField="CatchAllData" ma:web="f1a921d8-526c-43e3-8a93-f9bf9ad796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B42F573-240C-4FD8-AF2C-6A94C96CEFB6}">
  <ds:schemaRefs>
    <ds:schemaRef ds:uri="http://schemas.microsoft.com/office/2006/metadata/properties"/>
    <ds:schemaRef ds:uri="http://schemas.microsoft.com/office/infopath/2007/PartnerControls"/>
    <ds:schemaRef ds:uri="f1a921d8-526c-43e3-8a93-f9bf9ad79650"/>
    <ds:schemaRef ds:uri="3ec2570d-002d-43d9-b4d8-cd927734fd5c"/>
  </ds:schemaRefs>
</ds:datastoreItem>
</file>

<file path=customXml/itemProps2.xml><?xml version="1.0" encoding="utf-8"?>
<ds:datastoreItem xmlns:ds="http://schemas.openxmlformats.org/officeDocument/2006/customXml" ds:itemID="{332584C5-AB76-4933-B806-017A8FAA9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c2570d-002d-43d9-b4d8-cd927734fd5c"/>
    <ds:schemaRef ds:uri="f1a921d8-526c-43e3-8a93-f9bf9ad796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49C3AB-4745-4119-AC55-B731C03013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7A8DBFC-3A9F-43C2-9454-CD336CE7470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150</vt:i4>
      </vt:variant>
    </vt:vector>
  </HeadingPairs>
  <TitlesOfParts>
    <vt:vector size="160" baseType="lpstr">
      <vt:lpstr>Use Stmt</vt:lpstr>
      <vt:lpstr>Steps</vt:lpstr>
      <vt:lpstr>Workbook Updates</vt:lpstr>
      <vt:lpstr>Exh A</vt:lpstr>
      <vt:lpstr>Exh B</vt:lpstr>
      <vt:lpstr>Exh C</vt:lpstr>
      <vt:lpstr>Exh D</vt:lpstr>
      <vt:lpstr>Exh E</vt:lpstr>
      <vt:lpstr>Exh F</vt:lpstr>
      <vt:lpstr>Exh G</vt:lpstr>
      <vt:lpstr>A_1</vt:lpstr>
      <vt:lpstr>A_2</vt:lpstr>
      <vt:lpstr>A_3</vt:lpstr>
      <vt:lpstr>A_4</vt:lpstr>
      <vt:lpstr>A_5</vt:lpstr>
      <vt:lpstr>A_6</vt:lpstr>
      <vt:lpstr>A_7</vt:lpstr>
      <vt:lpstr>A_8</vt:lpstr>
      <vt:lpstr>B_1</vt:lpstr>
      <vt:lpstr>B_10</vt:lpstr>
      <vt:lpstr>B_11</vt:lpstr>
      <vt:lpstr>B_12</vt:lpstr>
      <vt:lpstr>B_13</vt:lpstr>
      <vt:lpstr>B_14</vt:lpstr>
      <vt:lpstr>B_15</vt:lpstr>
      <vt:lpstr>B_16</vt:lpstr>
      <vt:lpstr>B_17</vt:lpstr>
      <vt:lpstr>B_18</vt:lpstr>
      <vt:lpstr>B_19</vt:lpstr>
      <vt:lpstr>B_2</vt:lpstr>
      <vt:lpstr>B_20</vt:lpstr>
      <vt:lpstr>B_21</vt:lpstr>
      <vt:lpstr>B_22</vt:lpstr>
      <vt:lpstr>B_23</vt:lpstr>
      <vt:lpstr>B_24</vt:lpstr>
      <vt:lpstr>B_25</vt:lpstr>
      <vt:lpstr>B_26</vt:lpstr>
      <vt:lpstr>B_27</vt:lpstr>
      <vt:lpstr>B_28</vt:lpstr>
      <vt:lpstr>B_3</vt:lpstr>
      <vt:lpstr>B_31</vt:lpstr>
      <vt:lpstr>B_4</vt:lpstr>
      <vt:lpstr>B_5</vt:lpstr>
      <vt:lpstr>B_6</vt:lpstr>
      <vt:lpstr>B_7</vt:lpstr>
      <vt:lpstr>B_8</vt:lpstr>
      <vt:lpstr>B_9</vt:lpstr>
      <vt:lpstr>C_1</vt:lpstr>
      <vt:lpstr>C_10</vt:lpstr>
      <vt:lpstr>C_11</vt:lpstr>
      <vt:lpstr>C_2</vt:lpstr>
      <vt:lpstr>C_3</vt:lpstr>
      <vt:lpstr>C_4</vt:lpstr>
      <vt:lpstr>C_5</vt:lpstr>
      <vt:lpstr>C_6</vt:lpstr>
      <vt:lpstr>C_7</vt:lpstr>
      <vt:lpstr>C_8</vt:lpstr>
      <vt:lpstr>C_9</vt:lpstr>
      <vt:lpstr>D_1</vt:lpstr>
      <vt:lpstr>D_10</vt:lpstr>
      <vt:lpstr>D_12</vt:lpstr>
      <vt:lpstr>D_13</vt:lpstr>
      <vt:lpstr>D_14</vt:lpstr>
      <vt:lpstr>D_15</vt:lpstr>
      <vt:lpstr>D_2</vt:lpstr>
      <vt:lpstr>D_2A</vt:lpstr>
      <vt:lpstr>D_2B</vt:lpstr>
      <vt:lpstr>D_3</vt:lpstr>
      <vt:lpstr>D_4</vt:lpstr>
      <vt:lpstr>D_5</vt:lpstr>
      <vt:lpstr>D_6</vt:lpstr>
      <vt:lpstr>D_7</vt:lpstr>
      <vt:lpstr>D_8</vt:lpstr>
      <vt:lpstr>D_9</vt:lpstr>
      <vt:lpstr>E_1</vt:lpstr>
      <vt:lpstr>E_10</vt:lpstr>
      <vt:lpstr>E_11</vt:lpstr>
      <vt:lpstr>E_12</vt:lpstr>
      <vt:lpstr>E_13</vt:lpstr>
      <vt:lpstr>E_14</vt:lpstr>
      <vt:lpstr>E_15</vt:lpstr>
      <vt:lpstr>E_16</vt:lpstr>
      <vt:lpstr>E_17</vt:lpstr>
      <vt:lpstr>E_18</vt:lpstr>
      <vt:lpstr>E_19</vt:lpstr>
      <vt:lpstr>E_2</vt:lpstr>
      <vt:lpstr>E_20</vt:lpstr>
      <vt:lpstr>E_20a</vt:lpstr>
      <vt:lpstr>E_20b</vt:lpstr>
      <vt:lpstr>E_21</vt:lpstr>
      <vt:lpstr>E_22</vt:lpstr>
      <vt:lpstr>E_23</vt:lpstr>
      <vt:lpstr>E_24</vt:lpstr>
      <vt:lpstr>E_25</vt:lpstr>
      <vt:lpstr>E_26</vt:lpstr>
      <vt:lpstr>E_27</vt:lpstr>
      <vt:lpstr>E_28</vt:lpstr>
      <vt:lpstr>E_29</vt:lpstr>
      <vt:lpstr>E_3</vt:lpstr>
      <vt:lpstr>E_30</vt:lpstr>
      <vt:lpstr>E_31</vt:lpstr>
      <vt:lpstr>E_32</vt:lpstr>
      <vt:lpstr>E_33</vt:lpstr>
      <vt:lpstr>E_34</vt:lpstr>
      <vt:lpstr>E_35</vt:lpstr>
      <vt:lpstr>E_36</vt:lpstr>
      <vt:lpstr>E_37</vt:lpstr>
      <vt:lpstr>E_38</vt:lpstr>
      <vt:lpstr>E_39</vt:lpstr>
      <vt:lpstr>E_4</vt:lpstr>
      <vt:lpstr>E_40</vt:lpstr>
      <vt:lpstr>E_41</vt:lpstr>
      <vt:lpstr>E_42</vt:lpstr>
      <vt:lpstr>E_43</vt:lpstr>
      <vt:lpstr>E_44</vt:lpstr>
      <vt:lpstr>E_45</vt:lpstr>
      <vt:lpstr>E_46</vt:lpstr>
      <vt:lpstr>E_47</vt:lpstr>
      <vt:lpstr>E_48</vt:lpstr>
      <vt:lpstr>E_49</vt:lpstr>
      <vt:lpstr>E_5</vt:lpstr>
      <vt:lpstr>E_50</vt:lpstr>
      <vt:lpstr>E_51</vt:lpstr>
      <vt:lpstr>E_52</vt:lpstr>
      <vt:lpstr>E_53</vt:lpstr>
      <vt:lpstr>E_54</vt:lpstr>
      <vt:lpstr>E_56</vt:lpstr>
      <vt:lpstr>E_57</vt:lpstr>
      <vt:lpstr>E_58</vt:lpstr>
      <vt:lpstr>E_59</vt:lpstr>
      <vt:lpstr>E_6</vt:lpstr>
      <vt:lpstr>E_60</vt:lpstr>
      <vt:lpstr>E_61</vt:lpstr>
      <vt:lpstr>E_62</vt:lpstr>
      <vt:lpstr>E_63</vt:lpstr>
      <vt:lpstr>E_64</vt:lpstr>
      <vt:lpstr>E_65</vt:lpstr>
      <vt:lpstr>E_66</vt:lpstr>
      <vt:lpstr>E_67</vt:lpstr>
      <vt:lpstr>E_68</vt:lpstr>
      <vt:lpstr>E_69</vt:lpstr>
      <vt:lpstr>E_7</vt:lpstr>
      <vt:lpstr>E_70</vt:lpstr>
      <vt:lpstr>E_71</vt:lpstr>
      <vt:lpstr>E_72</vt:lpstr>
      <vt:lpstr>E_79</vt:lpstr>
      <vt:lpstr>E_8</vt:lpstr>
      <vt:lpstr>E_80</vt:lpstr>
      <vt:lpstr>E_83</vt:lpstr>
      <vt:lpstr>E_84</vt:lpstr>
      <vt:lpstr>E_9</vt:lpstr>
      <vt:lpstr>E_91</vt:lpstr>
      <vt:lpstr>E_92</vt:lpstr>
      <vt:lpstr>'Exh A'!Print_Area</vt:lpstr>
      <vt:lpstr>'Exh B'!Print_Area</vt:lpstr>
      <vt:lpstr>'Exh C'!Print_Area</vt:lpstr>
      <vt:lpstr>'Exh F'!Print_Area</vt:lpstr>
      <vt:lpstr>'Exh G'!Print_Area</vt:lpstr>
      <vt:lpstr>'Exh E'!Print_Titles</vt:lpstr>
      <vt:lpstr>'Exh F'!Print_Titles</vt:lpstr>
    </vt:vector>
  </TitlesOfParts>
  <Manager>Clayton Murphy</Manager>
  <Company>Statewide Accounting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Statement of Cash Flows Template Using the Direct Method</dc:title>
  <dc:subject>Cash Flows</dc:subject>
  <dc:creator>NC Office of State Controller</dc:creator>
  <cp:keywords/>
  <dc:description>1410 Mail Service Center_x000d_
Raleigh, NC 27699-1410_x000d_
(919) 981-5474</dc:description>
  <cp:lastModifiedBy>Brian Reinhardt</cp:lastModifiedBy>
  <cp:revision/>
  <cp:lastPrinted>2024-04-18T15:30:45Z</cp:lastPrinted>
  <dcterms:created xsi:type="dcterms:W3CDTF">2000-09-14T19:12:00Z</dcterms:created>
  <dcterms:modified xsi:type="dcterms:W3CDTF">2025-07-16T19:13:50Z</dcterms:modified>
  <cp:category>GASB Statement No. 34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isplay_urn:schemas-microsoft-com:office:office#Editor">
    <vt:lpwstr>John Krellner</vt:lpwstr>
  </property>
  <property fmtid="{D5CDD505-2E9C-101B-9397-08002B2CF9AE}" pid="5" name="display_urn:schemas-microsoft-com:office:office#Author">
    <vt:lpwstr>laura klem</vt:lpwstr>
  </property>
  <property fmtid="{D5CDD505-2E9C-101B-9397-08002B2CF9AE}" pid="6" name="_ExtendedDescription">
    <vt:lpwstr/>
  </property>
  <property fmtid="{D5CDD505-2E9C-101B-9397-08002B2CF9AE}" pid="7" name="MSIP_Label_defa4170-0d19-0005-0004-bc88714345d2_Enabled">
    <vt:lpwstr>true</vt:lpwstr>
  </property>
  <property fmtid="{D5CDD505-2E9C-101B-9397-08002B2CF9AE}" pid="8" name="MSIP_Label_defa4170-0d19-0005-0004-bc88714345d2_SetDate">
    <vt:lpwstr>2024-04-18T15:20:38Z</vt:lpwstr>
  </property>
  <property fmtid="{D5CDD505-2E9C-101B-9397-08002B2CF9AE}" pid="9" name="MSIP_Label_defa4170-0d19-0005-0004-bc88714345d2_Method">
    <vt:lpwstr>Standard</vt:lpwstr>
  </property>
  <property fmtid="{D5CDD505-2E9C-101B-9397-08002B2CF9AE}" pid="10" name="MSIP_Label_defa4170-0d19-0005-0004-bc88714345d2_Name">
    <vt:lpwstr>defa4170-0d19-0005-0004-bc88714345d2</vt:lpwstr>
  </property>
  <property fmtid="{D5CDD505-2E9C-101B-9397-08002B2CF9AE}" pid="11" name="MSIP_Label_defa4170-0d19-0005-0004-bc88714345d2_SiteId">
    <vt:lpwstr>a1f43f48-54fe-433f-9378-968b45bc6665</vt:lpwstr>
  </property>
  <property fmtid="{D5CDD505-2E9C-101B-9397-08002B2CF9AE}" pid="12" name="MSIP_Label_defa4170-0d19-0005-0004-bc88714345d2_ActionId">
    <vt:lpwstr>0015931b-e404-4c80-aa77-801d135db648</vt:lpwstr>
  </property>
  <property fmtid="{D5CDD505-2E9C-101B-9397-08002B2CF9AE}" pid="13" name="MSIP_Label_defa4170-0d19-0005-0004-bc88714345d2_ContentBits">
    <vt:lpwstr>0</vt:lpwstr>
  </property>
  <property fmtid="{D5CDD505-2E9C-101B-9397-08002B2CF9AE}" pid="14" name="ContentTypeId">
    <vt:lpwstr>0x01010028DAD092CE268B4A9CFCAE20B18605CD</vt:lpwstr>
  </property>
</Properties>
</file>