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K:\SASD\25CAFR\Packages\FY 2025\"/>
    </mc:Choice>
  </mc:AlternateContent>
  <xr:revisionPtr revIDLastSave="0" documentId="13_ncr:1_{36476672-160B-4D6E-A62B-1F3CA207FCD6}" xr6:coauthVersionLast="47" xr6:coauthVersionMax="47" xr10:uidLastSave="{00000000-0000-0000-0000-000000000000}"/>
  <bookViews>
    <workbookView xWindow="28680" yWindow="-120" windowWidth="29040" windowHeight="15720" tabRatio="829" xr2:uid="{00000000-000D-0000-FFFF-FFFF00000000}"/>
  </bookViews>
  <sheets>
    <sheet name=" Use Stmt" sheetId="6" r:id="rId1"/>
    <sheet name="Info" sheetId="7" r:id="rId2"/>
    <sheet name="Package Updates" sheetId="14" r:id="rId3"/>
    <sheet name="Exh A" sheetId="1" r:id="rId4"/>
    <sheet name="Exh B" sheetId="2" r:id="rId5"/>
    <sheet name="Adjustments1" sheetId="4" state="hidden" r:id="rId6"/>
    <sheet name="Adjustments" sheetId="18" r:id="rId7"/>
    <sheet name="Exh D" sheetId="3" r:id="rId8"/>
    <sheet name="Exh E" sheetId="5" r:id="rId9"/>
    <sheet name="Restatements" sheetId="8" r:id="rId10"/>
    <sheet name="Restatement GASB 101 example" sheetId="19" r:id="rId11"/>
    <sheet name="Comment" sheetId="15" r:id="rId12"/>
    <sheet name="Net Assets" sheetId="9" r:id="rId13"/>
    <sheet name="PriorYrExhD" sheetId="10" r:id="rId14"/>
    <sheet name="PriorYrExhE" sheetId="11" r:id="rId15"/>
    <sheet name="PYExhD Data" sheetId="12" state="hidden" r:id="rId16"/>
    <sheet name="PYExhE Data" sheetId="13" state="hidden" r:id="rId17"/>
    <sheet name="Notes" sheetId="16" state="hidden" r:id="rId18"/>
    <sheet name="Unrest and Rest Assets" sheetId="17" state="hidden" r:id="rId19"/>
  </sheets>
  <externalReferences>
    <externalReference r:id="rId20"/>
  </externalReferences>
  <definedNames>
    <definedName name="EquityData">'Net Assets'!$A$4:$D$23</definedName>
    <definedName name="EquityDataRow">'Net Assets'!$A$4:$A$23</definedName>
    <definedName name="FASB_ADJ">Adjustments!$A$7:$N$85</definedName>
    <definedName name="FASB_BS">'Exh A'!$A$9:$N$46</definedName>
    <definedName name="FASB_IS">'Exh B'!$A$9:$N$23</definedName>
    <definedName name="FCCSnum">'Net Assets'!$R$5:$S$22</definedName>
    <definedName name="Number">'Net Assets'!$A$4:$A$22</definedName>
    <definedName name="OLE_LINK1" localSheetId="9">Restatements!$E$65</definedName>
    <definedName name="_xlnm.Print_Area" localSheetId="5">Adjustments1!$A$1:$O$169</definedName>
    <definedName name="_xlnm.Print_Area" localSheetId="11">Comment!$A$1:$H$41</definedName>
    <definedName name="_xlnm.Print_Area" localSheetId="3">'Exh A'!$A$1:$W$79</definedName>
    <definedName name="_xlnm.Print_Area" localSheetId="4">'Exh B'!$A$1:$N$47</definedName>
    <definedName name="_xlnm.Print_Area" localSheetId="7">'Exh D'!$A$1:$N$61</definedName>
    <definedName name="_xlnm.Print_Area" localSheetId="8">'Exh E'!$A$1:$L$44</definedName>
    <definedName name="_xlnm.Print_Area" localSheetId="1">Info!$A$1:$G$36</definedName>
    <definedName name="_xlnm.Print_Area" localSheetId="12">'Net Assets'!$A$1:$K$30</definedName>
    <definedName name="_xlnm.Print_Area" localSheetId="2">'Package Updates'!$A$1:$E$35</definedName>
    <definedName name="_xlnm.Print_Area" localSheetId="13">PriorYrExhD!$A$1:$X$53</definedName>
    <definedName name="_xlnm.Print_Titles" localSheetId="5">Adjustments1!$1:$6</definedName>
    <definedName name="_xlnm.Print_Titles" localSheetId="3">'Exh A'!$1:$3</definedName>
    <definedName name="_xlnm.Print_Titles" localSheetId="13">PriorYrExhD!$C:$C,PriorYrExhD!$1:$6</definedName>
    <definedName name="_xlnm.Print_Titles" localSheetId="14">PriorYrExhE!$A:$C,PriorYrExhE!$1:$5</definedName>
    <definedName name="_xlnm.Print_Titles" localSheetId="15">'PYExhD Data'!$B:$C</definedName>
    <definedName name="_xlnm.Print_Titles" localSheetId="16">'PYExhE Data'!$A:$D</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5" l="1"/>
  <c r="E64" i="19"/>
  <c r="R63" i="19"/>
  <c r="Q63" i="19"/>
  <c r="P63" i="19"/>
  <c r="O63" i="19"/>
  <c r="N63" i="19"/>
  <c r="L63" i="19"/>
  <c r="K63" i="19"/>
  <c r="F63" i="19"/>
  <c r="R61" i="19"/>
  <c r="Q61" i="19"/>
  <c r="P61" i="19"/>
  <c r="O61" i="19"/>
  <c r="N61" i="19"/>
  <c r="L61" i="19"/>
  <c r="K61" i="19"/>
  <c r="J61" i="19"/>
  <c r="F61" i="19"/>
  <c r="C61" i="19"/>
  <c r="R60" i="19"/>
  <c r="Q60" i="19"/>
  <c r="P60" i="19"/>
  <c r="O60" i="19"/>
  <c r="N60" i="19"/>
  <c r="L60" i="19"/>
  <c r="K60" i="19"/>
  <c r="J60" i="19" s="1"/>
  <c r="F60" i="19"/>
  <c r="C60" i="19"/>
  <c r="R59" i="19"/>
  <c r="Q59" i="19"/>
  <c r="P59" i="19"/>
  <c r="O59" i="19"/>
  <c r="N59" i="19"/>
  <c r="L59" i="19"/>
  <c r="K59" i="19"/>
  <c r="J59" i="19"/>
  <c r="F59" i="19"/>
  <c r="C59" i="19"/>
  <c r="R58" i="19"/>
  <c r="Q58" i="19"/>
  <c r="P58" i="19"/>
  <c r="O58" i="19"/>
  <c r="N58" i="19"/>
  <c r="L58" i="19"/>
  <c r="K58" i="19"/>
  <c r="J58" i="19" s="1"/>
  <c r="F58" i="19"/>
  <c r="C58" i="19"/>
  <c r="R57" i="19"/>
  <c r="Q57" i="19"/>
  <c r="P57" i="19"/>
  <c r="O57" i="19"/>
  <c r="N57" i="19"/>
  <c r="L57" i="19"/>
  <c r="K57" i="19"/>
  <c r="J57" i="19"/>
  <c r="F57" i="19"/>
  <c r="C57" i="19"/>
  <c r="R56" i="19"/>
  <c r="Q56" i="19"/>
  <c r="P56" i="19"/>
  <c r="O56" i="19"/>
  <c r="N56" i="19"/>
  <c r="L56" i="19"/>
  <c r="K56" i="19"/>
  <c r="J56" i="19" s="1"/>
  <c r="F56" i="19"/>
  <c r="C56" i="19"/>
  <c r="R55" i="19"/>
  <c r="Q55" i="19"/>
  <c r="P55" i="19"/>
  <c r="O55" i="19"/>
  <c r="N55" i="19"/>
  <c r="L55" i="19"/>
  <c r="K55" i="19"/>
  <c r="J55" i="19"/>
  <c r="F55" i="19"/>
  <c r="C55" i="19"/>
  <c r="R54" i="19"/>
  <c r="Q54" i="19"/>
  <c r="P54" i="19"/>
  <c r="O54" i="19"/>
  <c r="N54" i="19"/>
  <c r="L54" i="19"/>
  <c r="K54" i="19"/>
  <c r="J54" i="19" s="1"/>
  <c r="F54" i="19"/>
  <c r="C54" i="19"/>
  <c r="R52" i="19"/>
  <c r="Q52" i="19"/>
  <c r="P52" i="19"/>
  <c r="O52" i="19"/>
  <c r="N52" i="19"/>
  <c r="L52" i="19"/>
  <c r="K52" i="19"/>
  <c r="J52" i="19"/>
  <c r="F52" i="19"/>
  <c r="C52" i="19"/>
  <c r="R51" i="19"/>
  <c r="Q51" i="19"/>
  <c r="P51" i="19"/>
  <c r="O51" i="19"/>
  <c r="N51" i="19"/>
  <c r="L51" i="19"/>
  <c r="K51" i="19"/>
  <c r="J51" i="19" s="1"/>
  <c r="F51" i="19"/>
  <c r="C51" i="19"/>
  <c r="R50" i="19"/>
  <c r="Q50" i="19"/>
  <c r="P50" i="19"/>
  <c r="O50" i="19"/>
  <c r="N50" i="19"/>
  <c r="L50" i="19"/>
  <c r="K50" i="19"/>
  <c r="J50" i="19"/>
  <c r="F50" i="19"/>
  <c r="C50" i="19"/>
  <c r="R49" i="19"/>
  <c r="Q49" i="19"/>
  <c r="P49" i="19"/>
  <c r="O49" i="19"/>
  <c r="N49" i="19"/>
  <c r="L49" i="19"/>
  <c r="K49" i="19"/>
  <c r="J49" i="19" s="1"/>
  <c r="F49" i="19"/>
  <c r="C49" i="19"/>
  <c r="R48" i="19"/>
  <c r="Q48" i="19"/>
  <c r="P48" i="19"/>
  <c r="O48" i="19"/>
  <c r="N48" i="19"/>
  <c r="L48" i="19"/>
  <c r="K48" i="19"/>
  <c r="J48" i="19"/>
  <c r="F48" i="19"/>
  <c r="C48" i="19"/>
  <c r="R47" i="19"/>
  <c r="Q47" i="19"/>
  <c r="P47" i="19"/>
  <c r="O47" i="19"/>
  <c r="N47" i="19"/>
  <c r="L47" i="19"/>
  <c r="K47" i="19"/>
  <c r="J47" i="19" s="1"/>
  <c r="F47" i="19"/>
  <c r="C47" i="19"/>
  <c r="R46" i="19"/>
  <c r="Q46" i="19"/>
  <c r="P46" i="19"/>
  <c r="O46" i="19"/>
  <c r="N46" i="19"/>
  <c r="L46" i="19"/>
  <c r="K46" i="19"/>
  <c r="J46" i="19"/>
  <c r="F46" i="19"/>
  <c r="C46" i="19"/>
  <c r="R45" i="19"/>
  <c r="Q45" i="19"/>
  <c r="P45" i="19"/>
  <c r="O45" i="19"/>
  <c r="N45" i="19"/>
  <c r="L45" i="19"/>
  <c r="K45" i="19"/>
  <c r="J45" i="19" s="1"/>
  <c r="F45" i="19"/>
  <c r="C45" i="19"/>
  <c r="E43" i="19"/>
  <c r="F43" i="19" s="1"/>
  <c r="R42" i="19"/>
  <c r="Q42" i="19"/>
  <c r="P42" i="19"/>
  <c r="O42" i="19"/>
  <c r="N42" i="19"/>
  <c r="L42" i="19"/>
  <c r="K42" i="19"/>
  <c r="J42" i="19"/>
  <c r="F42" i="19"/>
  <c r="C42" i="19"/>
  <c r="R41" i="19"/>
  <c r="Q41" i="19"/>
  <c r="P41" i="19"/>
  <c r="O41" i="19"/>
  <c r="N41" i="19"/>
  <c r="L41" i="19"/>
  <c r="K41" i="19"/>
  <c r="J41" i="19"/>
  <c r="F41" i="19"/>
  <c r="C41" i="19"/>
  <c r="R40" i="19"/>
  <c r="Q40" i="19"/>
  <c r="P40" i="19"/>
  <c r="O40" i="19"/>
  <c r="N40" i="19"/>
  <c r="L40" i="19"/>
  <c r="K40" i="19"/>
  <c r="J40" i="19"/>
  <c r="F40" i="19"/>
  <c r="C40" i="19"/>
  <c r="R39" i="19"/>
  <c r="Q39" i="19"/>
  <c r="P39" i="19"/>
  <c r="O39" i="19"/>
  <c r="N39" i="19"/>
  <c r="L39" i="19"/>
  <c r="K39" i="19"/>
  <c r="J39" i="19"/>
  <c r="F39" i="19"/>
  <c r="C39" i="19"/>
  <c r="R38" i="19"/>
  <c r="Q38" i="19"/>
  <c r="P38" i="19"/>
  <c r="O38" i="19"/>
  <c r="N38" i="19"/>
  <c r="L38" i="19"/>
  <c r="K38" i="19"/>
  <c r="J38" i="19"/>
  <c r="F38" i="19"/>
  <c r="C38" i="19"/>
  <c r="R37" i="19"/>
  <c r="Q37" i="19"/>
  <c r="P37" i="19"/>
  <c r="O37" i="19"/>
  <c r="N37" i="19"/>
  <c r="L37" i="19"/>
  <c r="K37" i="19"/>
  <c r="J37" i="19"/>
  <c r="F37" i="19"/>
  <c r="C37" i="19"/>
  <c r="R36" i="19"/>
  <c r="Q36" i="19"/>
  <c r="P36" i="19"/>
  <c r="O36" i="19"/>
  <c r="N36" i="19"/>
  <c r="L36" i="19"/>
  <c r="K36" i="19"/>
  <c r="J36" i="19"/>
  <c r="F36" i="19"/>
  <c r="C36" i="19"/>
  <c r="R35" i="19"/>
  <c r="Q35" i="19"/>
  <c r="P35" i="19"/>
  <c r="O35" i="19"/>
  <c r="N35" i="19"/>
  <c r="L35" i="19"/>
  <c r="K35" i="19"/>
  <c r="F35" i="19"/>
  <c r="C35" i="19"/>
  <c r="R33" i="19"/>
  <c r="Q33" i="19"/>
  <c r="P33" i="19"/>
  <c r="O33" i="19"/>
  <c r="N33" i="19"/>
  <c r="L33" i="19"/>
  <c r="K33" i="19"/>
  <c r="J33" i="19"/>
  <c r="F33" i="19"/>
  <c r="C33" i="19"/>
  <c r="R32" i="19"/>
  <c r="Q32" i="19"/>
  <c r="P32" i="19"/>
  <c r="O32" i="19"/>
  <c r="N32" i="19"/>
  <c r="L32" i="19"/>
  <c r="K32" i="19"/>
  <c r="J32" i="19"/>
  <c r="F32" i="19"/>
  <c r="C32" i="19"/>
  <c r="R31" i="19"/>
  <c r="Q31" i="19"/>
  <c r="P31" i="19"/>
  <c r="O31" i="19"/>
  <c r="N31" i="19"/>
  <c r="L31" i="19"/>
  <c r="K31" i="19"/>
  <c r="J31" i="19"/>
  <c r="F31" i="19"/>
  <c r="C31" i="19"/>
  <c r="R30" i="19"/>
  <c r="Q30" i="19"/>
  <c r="P30" i="19"/>
  <c r="O30" i="19"/>
  <c r="N30" i="19"/>
  <c r="L30" i="19"/>
  <c r="K30" i="19"/>
  <c r="J30" i="19"/>
  <c r="F30" i="19"/>
  <c r="C30" i="19"/>
  <c r="R29" i="19"/>
  <c r="Q29" i="19"/>
  <c r="P29" i="19"/>
  <c r="O29" i="19"/>
  <c r="N29" i="19"/>
  <c r="L29" i="19"/>
  <c r="K29" i="19"/>
  <c r="J29" i="19"/>
  <c r="F29" i="19"/>
  <c r="C29" i="19"/>
  <c r="R28" i="19"/>
  <c r="Q28" i="19"/>
  <c r="P28" i="19"/>
  <c r="O28" i="19"/>
  <c r="N28" i="19"/>
  <c r="L28" i="19"/>
  <c r="K28" i="19"/>
  <c r="J28" i="19"/>
  <c r="F28" i="19"/>
  <c r="C28" i="19"/>
  <c r="R27" i="19"/>
  <c r="Q27" i="19"/>
  <c r="P27" i="19"/>
  <c r="O27" i="19"/>
  <c r="N27" i="19"/>
  <c r="L27" i="19"/>
  <c r="K27" i="19"/>
  <c r="J27" i="19"/>
  <c r="F27" i="19"/>
  <c r="C27" i="19"/>
  <c r="R26" i="19"/>
  <c r="Q26" i="19"/>
  <c r="P26" i="19"/>
  <c r="O26" i="19"/>
  <c r="N26" i="19"/>
  <c r="L26" i="19"/>
  <c r="K26" i="19"/>
  <c r="J26" i="19"/>
  <c r="F26" i="19"/>
  <c r="C26" i="19"/>
  <c r="E23" i="19"/>
  <c r="D23" i="19"/>
  <c r="R22" i="19"/>
  <c r="Q22" i="19"/>
  <c r="P22" i="19"/>
  <c r="O22" i="19"/>
  <c r="N22" i="19"/>
  <c r="L22" i="19"/>
  <c r="J22" i="19" s="1"/>
  <c r="K22" i="19"/>
  <c r="F22" i="19"/>
  <c r="R21" i="19"/>
  <c r="Q21" i="19"/>
  <c r="P21" i="19"/>
  <c r="O21" i="19"/>
  <c r="N21" i="19"/>
  <c r="L21" i="19"/>
  <c r="K21" i="19"/>
  <c r="J21" i="19" s="1"/>
  <c r="F21" i="19"/>
  <c r="R20" i="19"/>
  <c r="Q20" i="19"/>
  <c r="P20" i="19"/>
  <c r="O20" i="19"/>
  <c r="N20" i="19"/>
  <c r="L20" i="19"/>
  <c r="K20" i="19"/>
  <c r="J20" i="19"/>
  <c r="F20" i="19"/>
  <c r="R19" i="19"/>
  <c r="Q19" i="19"/>
  <c r="P19" i="19"/>
  <c r="O19" i="19"/>
  <c r="N19" i="19"/>
  <c r="L19" i="19"/>
  <c r="J19" i="19" s="1"/>
  <c r="K19" i="19"/>
  <c r="F19" i="19"/>
  <c r="J35" i="19" l="1"/>
  <c r="J63" i="19"/>
  <c r="R66" i="19"/>
  <c r="H66" i="19" s="1"/>
  <c r="P66" i="19"/>
  <c r="Q66" i="19"/>
  <c r="O66" i="19"/>
  <c r="K66" i="19"/>
  <c r="N66" i="19"/>
  <c r="F64" i="19"/>
  <c r="L66" i="19"/>
  <c r="E69" i="19"/>
  <c r="F69" i="19" s="1"/>
  <c r="E67" i="19" s="1"/>
  <c r="Q67" i="19" l="1"/>
  <c r="G66" i="19" s="1"/>
  <c r="O67" i="19"/>
  <c r="B66" i="19" s="1"/>
  <c r="L67" i="19"/>
  <c r="D66" i="19" s="1"/>
  <c r="E68" i="19"/>
  <c r="E66" i="19" s="1"/>
  <c r="E65" i="19"/>
  <c r="N32" i="1" l="1"/>
  <c r="D76" i="18"/>
  <c r="D77" i="18" s="1"/>
  <c r="N75" i="18"/>
  <c r="N74" i="18"/>
  <c r="L76" i="18"/>
  <c r="L77" i="18" s="1"/>
  <c r="J76" i="18"/>
  <c r="H76" i="18"/>
  <c r="H77" i="18" s="1"/>
  <c r="F76" i="18"/>
  <c r="F77" i="18" s="1"/>
  <c r="N76" i="18" l="1"/>
  <c r="J77" i="18"/>
  <c r="K29" i="3" l="1"/>
  <c r="N19" i="1" l="1"/>
  <c r="X14" i="12" l="1"/>
  <c r="AJ14" i="12" s="1"/>
  <c r="F14" i="10"/>
  <c r="F15" i="10"/>
  <c r="F16" i="10"/>
  <c r="F17" i="10"/>
  <c r="C26" i="8" l="1"/>
  <c r="X14" i="10"/>
  <c r="L17" i="5"/>
  <c r="K57" i="8" l="1"/>
  <c r="L57" i="8"/>
  <c r="N57" i="8"/>
  <c r="O57" i="8"/>
  <c r="P57" i="8"/>
  <c r="Q57" i="8"/>
  <c r="R57" i="8"/>
  <c r="K58" i="8"/>
  <c r="L58" i="8"/>
  <c r="N58" i="8"/>
  <c r="O58" i="8"/>
  <c r="P58" i="8"/>
  <c r="Q58" i="8"/>
  <c r="R58" i="8"/>
  <c r="K59" i="8"/>
  <c r="L59" i="8"/>
  <c r="N59" i="8"/>
  <c r="O59" i="8"/>
  <c r="P59" i="8"/>
  <c r="Q59" i="8"/>
  <c r="R59" i="8"/>
  <c r="K60" i="8"/>
  <c r="L60" i="8"/>
  <c r="N60" i="8"/>
  <c r="O60" i="8"/>
  <c r="P60" i="8"/>
  <c r="Q60" i="8"/>
  <c r="R60" i="8"/>
  <c r="K61" i="8"/>
  <c r="L61" i="8"/>
  <c r="N61" i="8"/>
  <c r="O61" i="8"/>
  <c r="P61" i="8"/>
  <c r="Q61" i="8"/>
  <c r="R61" i="8"/>
  <c r="E64" i="8"/>
  <c r="C57" i="8"/>
  <c r="F57" i="8"/>
  <c r="C58" i="8"/>
  <c r="F58" i="8"/>
  <c r="C59" i="8"/>
  <c r="F59" i="8"/>
  <c r="C60" i="8"/>
  <c r="F60" i="8"/>
  <c r="C61" i="8"/>
  <c r="F61" i="8"/>
  <c r="K48" i="8"/>
  <c r="L48" i="8"/>
  <c r="N48" i="8"/>
  <c r="O48" i="8"/>
  <c r="P48" i="8"/>
  <c r="Q48" i="8"/>
  <c r="R48" i="8"/>
  <c r="K49" i="8"/>
  <c r="L49" i="8"/>
  <c r="N49" i="8"/>
  <c r="O49" i="8"/>
  <c r="P49" i="8"/>
  <c r="Q49" i="8"/>
  <c r="R49" i="8"/>
  <c r="K50" i="8"/>
  <c r="L50" i="8"/>
  <c r="N50" i="8"/>
  <c r="O50" i="8"/>
  <c r="P50" i="8"/>
  <c r="Q50" i="8"/>
  <c r="R50" i="8"/>
  <c r="K51" i="8"/>
  <c r="L51" i="8"/>
  <c r="N51" i="8"/>
  <c r="O51" i="8"/>
  <c r="P51" i="8"/>
  <c r="Q51" i="8"/>
  <c r="R51" i="8"/>
  <c r="K52" i="8"/>
  <c r="L52" i="8"/>
  <c r="N52" i="8"/>
  <c r="O52" i="8"/>
  <c r="P52" i="8"/>
  <c r="Q52" i="8"/>
  <c r="R52" i="8"/>
  <c r="C52" i="8"/>
  <c r="F52" i="8"/>
  <c r="C48" i="8"/>
  <c r="F48" i="8"/>
  <c r="C49" i="8"/>
  <c r="F49" i="8"/>
  <c r="C50" i="8"/>
  <c r="F50" i="8"/>
  <c r="C51" i="8"/>
  <c r="F51" i="8"/>
  <c r="K38" i="8"/>
  <c r="L38" i="8"/>
  <c r="N38" i="8"/>
  <c r="O38" i="8"/>
  <c r="P38" i="8"/>
  <c r="Q38" i="8"/>
  <c r="R38" i="8"/>
  <c r="K39" i="8"/>
  <c r="L39" i="8"/>
  <c r="N39" i="8"/>
  <c r="O39" i="8"/>
  <c r="P39" i="8"/>
  <c r="Q39" i="8"/>
  <c r="R39" i="8"/>
  <c r="K40" i="8"/>
  <c r="L40" i="8"/>
  <c r="N40" i="8"/>
  <c r="O40" i="8"/>
  <c r="P40" i="8"/>
  <c r="Q40" i="8"/>
  <c r="R40" i="8"/>
  <c r="K41" i="8"/>
  <c r="L41" i="8"/>
  <c r="N41" i="8"/>
  <c r="O41" i="8"/>
  <c r="P41" i="8"/>
  <c r="Q41" i="8"/>
  <c r="R41" i="8"/>
  <c r="K42" i="8"/>
  <c r="L42" i="8"/>
  <c r="N42" i="8"/>
  <c r="O42" i="8"/>
  <c r="P42" i="8"/>
  <c r="Q42" i="8"/>
  <c r="R42" i="8"/>
  <c r="E43" i="8"/>
  <c r="C38" i="8"/>
  <c r="F38" i="8"/>
  <c r="C39" i="8"/>
  <c r="F39" i="8"/>
  <c r="C40" i="8"/>
  <c r="F40" i="8"/>
  <c r="C41" i="8"/>
  <c r="F41" i="8"/>
  <c r="C42" i="8"/>
  <c r="F42" i="8"/>
  <c r="E70" i="8" l="1"/>
  <c r="E65" i="8"/>
  <c r="J61" i="8"/>
  <c r="J58" i="8"/>
  <c r="J60" i="8"/>
  <c r="J59" i="8"/>
  <c r="J57" i="8"/>
  <c r="J50" i="8"/>
  <c r="J52" i="8"/>
  <c r="J51" i="8"/>
  <c r="J48" i="8"/>
  <c r="J49" i="8"/>
  <c r="J40" i="8"/>
  <c r="J42" i="8"/>
  <c r="J41" i="8"/>
  <c r="J39" i="8"/>
  <c r="J38" i="8"/>
  <c r="K29" i="8"/>
  <c r="L29" i="8"/>
  <c r="N29" i="8"/>
  <c r="O29" i="8"/>
  <c r="P29" i="8"/>
  <c r="Q29" i="8"/>
  <c r="R29" i="8"/>
  <c r="K30" i="8"/>
  <c r="L30" i="8"/>
  <c r="N30" i="8"/>
  <c r="O30" i="8"/>
  <c r="P30" i="8"/>
  <c r="Q30" i="8"/>
  <c r="R30" i="8"/>
  <c r="K31" i="8"/>
  <c r="L31" i="8"/>
  <c r="N31" i="8"/>
  <c r="O31" i="8"/>
  <c r="P31" i="8"/>
  <c r="Q31" i="8"/>
  <c r="R31" i="8"/>
  <c r="K32" i="8"/>
  <c r="L32" i="8"/>
  <c r="N32" i="8"/>
  <c r="O32" i="8"/>
  <c r="P32" i="8"/>
  <c r="Q32" i="8"/>
  <c r="R32" i="8"/>
  <c r="K33" i="8"/>
  <c r="L33" i="8"/>
  <c r="N33" i="8"/>
  <c r="O33" i="8"/>
  <c r="P33" i="8"/>
  <c r="Q33" i="8"/>
  <c r="R33" i="8"/>
  <c r="C29" i="8"/>
  <c r="F29" i="8"/>
  <c r="C30" i="8"/>
  <c r="F30" i="8"/>
  <c r="C31" i="8"/>
  <c r="F31" i="8"/>
  <c r="C32" i="8"/>
  <c r="F32" i="8"/>
  <c r="C33" i="8"/>
  <c r="F33" i="8"/>
  <c r="N23" i="1"/>
  <c r="D14" i="3"/>
  <c r="K14" i="3" s="1"/>
  <c r="E19" i="16"/>
  <c r="J32" i="8" l="1"/>
  <c r="J30" i="8"/>
  <c r="J31" i="8"/>
  <c r="J33" i="8"/>
  <c r="J29" i="8"/>
  <c r="AI32" i="12"/>
  <c r="AI19" i="12"/>
  <c r="V19" i="12" l="1"/>
  <c r="L135" i="18" l="1"/>
  <c r="J135" i="18"/>
  <c r="H135" i="18"/>
  <c r="F135" i="18"/>
  <c r="D135" i="18"/>
  <c r="N135" i="18" s="1"/>
  <c r="L128" i="18"/>
  <c r="J128" i="18"/>
  <c r="H128" i="18"/>
  <c r="F128" i="18"/>
  <c r="D128" i="18"/>
  <c r="L127" i="18"/>
  <c r="J127" i="18"/>
  <c r="H127" i="18"/>
  <c r="F127" i="18"/>
  <c r="D127" i="18"/>
  <c r="L126" i="18"/>
  <c r="J126" i="18"/>
  <c r="H126" i="18"/>
  <c r="F126" i="18"/>
  <c r="D126" i="18"/>
  <c r="L122" i="18"/>
  <c r="J122" i="18"/>
  <c r="H122" i="18"/>
  <c r="F122" i="18"/>
  <c r="D122" i="18"/>
  <c r="L121" i="18"/>
  <c r="J121" i="18"/>
  <c r="H121" i="18"/>
  <c r="F121" i="18"/>
  <c r="D121" i="18"/>
  <c r="L120" i="18"/>
  <c r="J120" i="18"/>
  <c r="H120" i="18"/>
  <c r="F120" i="18"/>
  <c r="D120" i="18"/>
  <c r="N120" i="18" s="1"/>
  <c r="L119" i="18"/>
  <c r="J119" i="18"/>
  <c r="H119" i="18"/>
  <c r="F119" i="18"/>
  <c r="D119" i="18"/>
  <c r="L118" i="18"/>
  <c r="J118" i="18"/>
  <c r="H118" i="18"/>
  <c r="F118" i="18"/>
  <c r="D118" i="18"/>
  <c r="L113" i="18"/>
  <c r="L114" i="18" s="1"/>
  <c r="J113" i="18"/>
  <c r="J114" i="18" s="1"/>
  <c r="H113" i="18"/>
  <c r="H114" i="18" s="1"/>
  <c r="F113" i="18"/>
  <c r="F114" i="18" s="1"/>
  <c r="D113" i="18"/>
  <c r="D114" i="18" s="1"/>
  <c r="N112" i="18"/>
  <c r="N111" i="18"/>
  <c r="D38" i="3" s="1"/>
  <c r="L108" i="18"/>
  <c r="J108" i="18"/>
  <c r="H108" i="18"/>
  <c r="F108" i="18"/>
  <c r="D108" i="18"/>
  <c r="N107" i="18"/>
  <c r="N106" i="18"/>
  <c r="F103" i="18"/>
  <c r="L102" i="18"/>
  <c r="L103" i="18" s="1"/>
  <c r="J102" i="18"/>
  <c r="J103" i="18" s="1"/>
  <c r="H102" i="18"/>
  <c r="H103" i="18" s="1"/>
  <c r="F102" i="18"/>
  <c r="D102" i="18"/>
  <c r="N101" i="18"/>
  <c r="N100" i="18"/>
  <c r="L96" i="18"/>
  <c r="L97" i="18" s="1"/>
  <c r="J96" i="18"/>
  <c r="J97" i="18" s="1"/>
  <c r="H96" i="18"/>
  <c r="H97" i="18" s="1"/>
  <c r="F96" i="18"/>
  <c r="F97" i="18" s="1"/>
  <c r="D96" i="18"/>
  <c r="D97" i="18" s="1"/>
  <c r="N95" i="18"/>
  <c r="N94" i="18"/>
  <c r="L86" i="18"/>
  <c r="L87" i="18" s="1"/>
  <c r="J86" i="18"/>
  <c r="J87" i="18" s="1"/>
  <c r="H86" i="18"/>
  <c r="H87" i="18" s="1"/>
  <c r="F86" i="18"/>
  <c r="F87" i="18" s="1"/>
  <c r="D86" i="18"/>
  <c r="D87" i="18" s="1"/>
  <c r="N85" i="18"/>
  <c r="D21" i="5" s="1"/>
  <c r="N84" i="18"/>
  <c r="D20" i="5" s="1"/>
  <c r="N83" i="18"/>
  <c r="D19" i="5" s="1"/>
  <c r="L70" i="18"/>
  <c r="L71" i="18" s="1"/>
  <c r="J70" i="18"/>
  <c r="J71" i="18" s="1"/>
  <c r="H70" i="18"/>
  <c r="H71" i="18" s="1"/>
  <c r="F70" i="18"/>
  <c r="F71" i="18" s="1"/>
  <c r="D70" i="18"/>
  <c r="N69" i="18"/>
  <c r="D10" i="5" s="1"/>
  <c r="N68" i="18"/>
  <c r="D9" i="5" s="1"/>
  <c r="N67" i="18"/>
  <c r="L63" i="18"/>
  <c r="L64" i="18" s="1"/>
  <c r="J63" i="18"/>
  <c r="J64" i="18" s="1"/>
  <c r="H63" i="18"/>
  <c r="F63" i="18"/>
  <c r="F64" i="18" s="1"/>
  <c r="D63" i="18"/>
  <c r="D64" i="18" s="1"/>
  <c r="N62" i="18"/>
  <c r="N61" i="18"/>
  <c r="L57" i="18"/>
  <c r="L58" i="18" s="1"/>
  <c r="J57" i="18"/>
  <c r="J58" i="18" s="1"/>
  <c r="H57" i="18"/>
  <c r="H58" i="18" s="1"/>
  <c r="F57" i="18"/>
  <c r="F58" i="18" s="1"/>
  <c r="D57" i="18"/>
  <c r="D58" i="18" s="1"/>
  <c r="N56" i="18"/>
  <c r="N55" i="18"/>
  <c r="L51" i="18"/>
  <c r="L52" i="18" s="1"/>
  <c r="J51" i="18"/>
  <c r="J52" i="18" s="1"/>
  <c r="H51" i="18"/>
  <c r="H52" i="18" s="1"/>
  <c r="F51" i="18"/>
  <c r="F52" i="18" s="1"/>
  <c r="D51" i="18"/>
  <c r="D52" i="18" s="1"/>
  <c r="N50" i="18"/>
  <c r="N49" i="18"/>
  <c r="L45" i="18"/>
  <c r="L46" i="18" s="1"/>
  <c r="J45" i="18"/>
  <c r="J46" i="18" s="1"/>
  <c r="H45" i="18"/>
  <c r="H46" i="18" s="1"/>
  <c r="F45" i="18"/>
  <c r="F46" i="18" s="1"/>
  <c r="D45" i="18"/>
  <c r="D46" i="18" s="1"/>
  <c r="N44" i="18"/>
  <c r="N43" i="18"/>
  <c r="L39" i="18"/>
  <c r="L40" i="18" s="1"/>
  <c r="J39" i="18"/>
  <c r="J40" i="18" s="1"/>
  <c r="H39" i="18"/>
  <c r="H40" i="18" s="1"/>
  <c r="F39" i="18"/>
  <c r="F40" i="18" s="1"/>
  <c r="D39" i="18"/>
  <c r="D40" i="18" s="1"/>
  <c r="N38" i="18"/>
  <c r="N37" i="18"/>
  <c r="L33" i="18"/>
  <c r="L34" i="18" s="1"/>
  <c r="J33" i="18"/>
  <c r="J34" i="18" s="1"/>
  <c r="H33" i="18"/>
  <c r="H34" i="18" s="1"/>
  <c r="F33" i="18"/>
  <c r="F34" i="18" s="1"/>
  <c r="D33" i="18"/>
  <c r="D34" i="18" s="1"/>
  <c r="N32" i="18"/>
  <c r="N31" i="18"/>
  <c r="L27" i="18"/>
  <c r="L28" i="18" s="1"/>
  <c r="J27" i="18"/>
  <c r="J28" i="18" s="1"/>
  <c r="H27" i="18"/>
  <c r="H28" i="18" s="1"/>
  <c r="F27" i="18"/>
  <c r="F28" i="18" s="1"/>
  <c r="D27" i="18"/>
  <c r="N26" i="18"/>
  <c r="N25" i="18"/>
  <c r="N24" i="18"/>
  <c r="N23" i="18"/>
  <c r="L19" i="18"/>
  <c r="L20" i="18" s="1"/>
  <c r="J19" i="18"/>
  <c r="J20" i="18" s="1"/>
  <c r="H19" i="18"/>
  <c r="H20" i="18" s="1"/>
  <c r="F19" i="18"/>
  <c r="F20" i="18" s="1"/>
  <c r="D19" i="18"/>
  <c r="D20" i="18" s="1"/>
  <c r="N18" i="18"/>
  <c r="N17" i="18"/>
  <c r="N15" i="18"/>
  <c r="N14" i="18"/>
  <c r="N12" i="18"/>
  <c r="N11" i="18"/>
  <c r="L4" i="18"/>
  <c r="J4" i="18"/>
  <c r="H4" i="18"/>
  <c r="F4" i="18"/>
  <c r="D4" i="18"/>
  <c r="R22" i="8"/>
  <c r="N70" i="18" l="1"/>
  <c r="N108" i="18"/>
  <c r="H129" i="18"/>
  <c r="H134" i="18" s="1"/>
  <c r="N127" i="18"/>
  <c r="F129" i="18"/>
  <c r="F134" i="18" s="1"/>
  <c r="D18" i="3"/>
  <c r="N113" i="18"/>
  <c r="D16" i="3"/>
  <c r="N102" i="18"/>
  <c r="N121" i="18"/>
  <c r="D30" i="3"/>
  <c r="N128" i="18"/>
  <c r="N63" i="18"/>
  <c r="N126" i="18"/>
  <c r="D31" i="3"/>
  <c r="L129" i="18"/>
  <c r="L134" i="18" s="1"/>
  <c r="D103" i="18"/>
  <c r="H123" i="18"/>
  <c r="H133" i="18" s="1"/>
  <c r="J123" i="18"/>
  <c r="J133" i="18" s="1"/>
  <c r="L123" i="18"/>
  <c r="L133" i="18" s="1"/>
  <c r="D17" i="3"/>
  <c r="N122" i="18"/>
  <c r="N27" i="18"/>
  <c r="D129" i="18"/>
  <c r="D134" i="18" s="1"/>
  <c r="N119" i="18"/>
  <c r="D123" i="18"/>
  <c r="D133" i="18" s="1"/>
  <c r="F123" i="18"/>
  <c r="F133" i="18" s="1"/>
  <c r="N45" i="18"/>
  <c r="N96" i="18"/>
  <c r="D28" i="18"/>
  <c r="H64" i="18"/>
  <c r="J129" i="18"/>
  <c r="J134" i="18" s="1"/>
  <c r="N86" i="18"/>
  <c r="N118" i="18"/>
  <c r="N51" i="18"/>
  <c r="N33" i="18"/>
  <c r="D71" i="18"/>
  <c r="N19" i="18"/>
  <c r="N57" i="18"/>
  <c r="N39" i="18"/>
  <c r="N63" i="8"/>
  <c r="O63" i="8"/>
  <c r="O21" i="8"/>
  <c r="O22" i="8"/>
  <c r="N56" i="8"/>
  <c r="P63" i="8"/>
  <c r="Q63" i="8"/>
  <c r="O46" i="8"/>
  <c r="N46" i="8"/>
  <c r="N47" i="8"/>
  <c r="L46" i="8"/>
  <c r="K55" i="8"/>
  <c r="O20" i="8"/>
  <c r="O19" i="8"/>
  <c r="O56" i="8"/>
  <c r="O54" i="8"/>
  <c r="O47" i="8"/>
  <c r="O45" i="8"/>
  <c r="O37" i="8"/>
  <c r="O36" i="8"/>
  <c r="O35" i="8"/>
  <c r="O28" i="8"/>
  <c r="O27" i="8"/>
  <c r="O26" i="8"/>
  <c r="N19" i="8"/>
  <c r="P19" i="8"/>
  <c r="R63" i="8"/>
  <c r="R56" i="8"/>
  <c r="R54" i="8"/>
  <c r="R47" i="8"/>
  <c r="R46" i="8"/>
  <c r="R45" i="8"/>
  <c r="R37" i="8"/>
  <c r="R36" i="8"/>
  <c r="R35" i="8"/>
  <c r="R28" i="8"/>
  <c r="R27" i="8"/>
  <c r="R26" i="8"/>
  <c r="R20" i="8"/>
  <c r="R21" i="8"/>
  <c r="R19" i="8"/>
  <c r="Q56" i="8"/>
  <c r="Q54" i="8"/>
  <c r="Q47" i="8"/>
  <c r="Q46" i="8"/>
  <c r="Q45" i="8"/>
  <c r="Q37" i="8"/>
  <c r="Q36" i="8"/>
  <c r="Q35" i="8"/>
  <c r="Q28" i="8"/>
  <c r="Q27" i="8"/>
  <c r="Q26" i="8"/>
  <c r="Q20" i="8"/>
  <c r="Q21" i="8"/>
  <c r="Q22" i="8"/>
  <c r="Q19" i="8"/>
  <c r="N54" i="8"/>
  <c r="N45" i="8"/>
  <c r="N37" i="8"/>
  <c r="N36" i="8"/>
  <c r="N35" i="8"/>
  <c r="N28" i="8"/>
  <c r="N27" i="8"/>
  <c r="N26" i="8"/>
  <c r="N22" i="8"/>
  <c r="N21" i="8"/>
  <c r="N20" i="8"/>
  <c r="L45" i="8"/>
  <c r="L22" i="8"/>
  <c r="K63" i="8"/>
  <c r="L63" i="8"/>
  <c r="N134" i="18" l="1"/>
  <c r="N123" i="18"/>
  <c r="D35" i="3" s="1"/>
  <c r="N133" i="18"/>
  <c r="N129" i="18"/>
  <c r="F64" i="8"/>
  <c r="O55" i="8"/>
  <c r="O66" i="8" s="1"/>
  <c r="R55" i="8"/>
  <c r="N55" i="8"/>
  <c r="Q55" i="8"/>
  <c r="Q66" i="8" s="1"/>
  <c r="J63" i="8"/>
  <c r="R66" i="8"/>
  <c r="H66" i="8" s="1"/>
  <c r="O108" i="18" l="1"/>
  <c r="O123" i="18"/>
  <c r="O96" i="18"/>
  <c r="O102" i="18"/>
  <c r="O129" i="18"/>
  <c r="D40" i="3"/>
  <c r="F43" i="8"/>
  <c r="F63" i="8" l="1"/>
  <c r="N66" i="8" l="1"/>
  <c r="O67" i="8" s="1"/>
  <c r="P56" i="8"/>
  <c r="P55" i="8"/>
  <c r="P54" i="8"/>
  <c r="P47" i="8"/>
  <c r="P46" i="8"/>
  <c r="P45" i="8"/>
  <c r="P37" i="8"/>
  <c r="P36" i="8"/>
  <c r="P35" i="8"/>
  <c r="P28" i="8"/>
  <c r="P27" i="8"/>
  <c r="P26" i="8"/>
  <c r="P20" i="8"/>
  <c r="P21" i="8"/>
  <c r="P22" i="8"/>
  <c r="P66" i="8" l="1"/>
  <c r="Q67" i="8" s="1"/>
  <c r="G66" i="8" s="1"/>
  <c r="K22" i="8" l="1"/>
  <c r="L21" i="8"/>
  <c r="K21" i="8"/>
  <c r="L20" i="8"/>
  <c r="K20" i="8"/>
  <c r="L19" i="8"/>
  <c r="K19" i="8"/>
  <c r="K45" i="8"/>
  <c r="J21" i="8" l="1"/>
  <c r="J22" i="8"/>
  <c r="J20" i="8"/>
  <c r="J19" i="8"/>
  <c r="K54" i="8" l="1"/>
  <c r="K56" i="8"/>
  <c r="K46" i="8"/>
  <c r="K47" i="8"/>
  <c r="K35" i="8"/>
  <c r="K36" i="8"/>
  <c r="K37" i="8"/>
  <c r="K27" i="8"/>
  <c r="K28" i="8"/>
  <c r="K26" i="8"/>
  <c r="L54" i="8"/>
  <c r="L55" i="8"/>
  <c r="L56" i="8"/>
  <c r="J45" i="8"/>
  <c r="L47" i="8"/>
  <c r="L35" i="8"/>
  <c r="L36" i="8"/>
  <c r="L37" i="8"/>
  <c r="L27" i="8"/>
  <c r="L28" i="8"/>
  <c r="L26" i="8"/>
  <c r="F54" i="8"/>
  <c r="F55" i="8"/>
  <c r="F56" i="8"/>
  <c r="F45" i="8"/>
  <c r="F46" i="8"/>
  <c r="F47" i="8"/>
  <c r="F35" i="8"/>
  <c r="F36" i="8"/>
  <c r="F37" i="8"/>
  <c r="F26" i="8"/>
  <c r="F27" i="8"/>
  <c r="F28" i="8"/>
  <c r="F20" i="8"/>
  <c r="F21" i="8"/>
  <c r="F22" i="8"/>
  <c r="F19" i="8"/>
  <c r="C36" i="8"/>
  <c r="C37" i="8"/>
  <c r="C35" i="8"/>
  <c r="C27" i="8"/>
  <c r="C28" i="8"/>
  <c r="E42" i="16"/>
  <c r="E24" i="16"/>
  <c r="E25" i="16"/>
  <c r="M5" i="17"/>
  <c r="M6" i="17"/>
  <c r="M7" i="17"/>
  <c r="M4" i="17"/>
  <c r="D8" i="17"/>
  <c r="E8" i="17"/>
  <c r="F8" i="17"/>
  <c r="G8" i="17"/>
  <c r="H8" i="17"/>
  <c r="I8" i="17"/>
  <c r="J8" i="17"/>
  <c r="K8" i="17"/>
  <c r="L8" i="17"/>
  <c r="C8" i="17"/>
  <c r="M8" i="17" s="1"/>
  <c r="E23" i="16"/>
  <c r="I28" i="16"/>
  <c r="I29" i="16"/>
  <c r="E26" i="16"/>
  <c r="E43" i="16"/>
  <c r="E44" i="16"/>
  <c r="E45" i="16"/>
  <c r="E46" i="16"/>
  <c r="E47" i="16"/>
  <c r="E48" i="16"/>
  <c r="E49" i="16"/>
  <c r="E50" i="16"/>
  <c r="E51" i="16"/>
  <c r="E52" i="16"/>
  <c r="E34" i="16"/>
  <c r="C55" i="8"/>
  <c r="C56" i="8"/>
  <c r="C54" i="8"/>
  <c r="C46" i="8"/>
  <c r="C47" i="8"/>
  <c r="C45" i="8"/>
  <c r="J27" i="8" l="1"/>
  <c r="L66" i="8"/>
  <c r="J37" i="8"/>
  <c r="J36" i="8"/>
  <c r="J28" i="8"/>
  <c r="K66" i="8" s="1"/>
  <c r="J35" i="8"/>
  <c r="J47" i="8"/>
  <c r="J46" i="8"/>
  <c r="J56" i="8"/>
  <c r="J55" i="8"/>
  <c r="J26" i="8"/>
  <c r="J54" i="8"/>
  <c r="E78" i="16"/>
  <c r="E77" i="16"/>
  <c r="E76" i="16"/>
  <c r="E75" i="16"/>
  <c r="E68" i="16"/>
  <c r="E67" i="16"/>
  <c r="E66" i="16"/>
  <c r="E65" i="16"/>
  <c r="E64" i="16"/>
  <c r="E63" i="16"/>
  <c r="E62" i="16"/>
  <c r="E61" i="16"/>
  <c r="E60" i="16"/>
  <c r="E41" i="16"/>
  <c r="E40" i="16"/>
  <c r="E39" i="16"/>
  <c r="E38" i="16"/>
  <c r="E37" i="16"/>
  <c r="E36" i="16"/>
  <c r="E35" i="16"/>
  <c r="E30" i="16"/>
  <c r="E22" i="16"/>
  <c r="E21" i="16"/>
  <c r="E20" i="16"/>
  <c r="E18" i="16"/>
  <c r="E17" i="16"/>
  <c r="E16" i="16"/>
  <c r="E15" i="16"/>
  <c r="E14" i="16"/>
  <c r="E13" i="16"/>
  <c r="E12" i="16"/>
  <c r="E11" i="16"/>
  <c r="E10" i="16"/>
  <c r="E9" i="16"/>
  <c r="E8" i="16"/>
  <c r="E7" i="16"/>
  <c r="E6" i="16"/>
  <c r="E5" i="16"/>
  <c r="E4" i="16"/>
  <c r="L67" i="8" l="1"/>
  <c r="S35" i="13"/>
  <c r="R35" i="13"/>
  <c r="P35" i="13"/>
  <c r="E35" i="13"/>
  <c r="N35" i="13"/>
  <c r="K35" i="13"/>
  <c r="H35" i="13"/>
  <c r="W35" i="13"/>
  <c r="W32" i="11"/>
  <c r="I41" i="10"/>
  <c r="I40" i="10"/>
  <c r="I38" i="10"/>
  <c r="I35" i="10"/>
  <c r="I30" i="10"/>
  <c r="I31" i="10"/>
  <c r="I27" i="10"/>
  <c r="I28" i="10"/>
  <c r="I26" i="10"/>
  <c r="I25" i="10"/>
  <c r="I24" i="10"/>
  <c r="I23" i="10"/>
  <c r="I22" i="10"/>
  <c r="I18" i="10"/>
  <c r="I17" i="10"/>
  <c r="I16" i="10"/>
  <c r="I15" i="10"/>
  <c r="I13" i="10"/>
  <c r="I12" i="10"/>
  <c r="I11" i="10"/>
  <c r="I10" i="10"/>
  <c r="I9" i="10"/>
  <c r="I8" i="10"/>
  <c r="I7" i="10"/>
  <c r="G41" i="10"/>
  <c r="G40" i="10"/>
  <c r="G38" i="10"/>
  <c r="G35" i="10"/>
  <c r="G31" i="10"/>
  <c r="G30" i="10"/>
  <c r="G28" i="10"/>
  <c r="G27" i="10"/>
  <c r="G26" i="10"/>
  <c r="G25" i="10"/>
  <c r="G24" i="10"/>
  <c r="G23" i="10"/>
  <c r="G22" i="10"/>
  <c r="G18" i="10"/>
  <c r="G17" i="10"/>
  <c r="G16" i="10"/>
  <c r="G15" i="10"/>
  <c r="G13" i="10"/>
  <c r="G12" i="10"/>
  <c r="G11" i="10"/>
  <c r="G10" i="10"/>
  <c r="G9" i="10"/>
  <c r="G8" i="10"/>
  <c r="G7" i="10"/>
  <c r="F31" i="10"/>
  <c r="F30" i="10"/>
  <c r="F28" i="10"/>
  <c r="F27" i="10"/>
  <c r="F26" i="10"/>
  <c r="F25" i="10"/>
  <c r="F24" i="10"/>
  <c r="F23" i="10"/>
  <c r="F22" i="10"/>
  <c r="F18" i="10"/>
  <c r="F13" i="10"/>
  <c r="F12" i="10"/>
  <c r="F11" i="10"/>
  <c r="F10" i="10"/>
  <c r="F9" i="10"/>
  <c r="F8" i="10"/>
  <c r="F7" i="10"/>
  <c r="F41" i="10"/>
  <c r="F40" i="10"/>
  <c r="F38" i="10"/>
  <c r="F35" i="10"/>
  <c r="H31" i="11"/>
  <c r="E31" i="11"/>
  <c r="AC18" i="13"/>
  <c r="AD19" i="13"/>
  <c r="AD20" i="13"/>
  <c r="AD26" i="13"/>
  <c r="AK36" i="12"/>
  <c r="AK37" i="12" s="1"/>
  <c r="AK38" i="12" s="1"/>
  <c r="AK39" i="12" s="1"/>
  <c r="AK40" i="12" s="1"/>
  <c r="AK41" i="12" s="1"/>
  <c r="V25" i="13" l="1"/>
  <c r="AJ20" i="12"/>
  <c r="AJ21" i="12"/>
  <c r="AJ33" i="12"/>
  <c r="AJ34" i="12"/>
  <c r="G25" i="13"/>
  <c r="F25" i="13"/>
  <c r="I25" i="13"/>
  <c r="J25" i="13"/>
  <c r="L25" i="13"/>
  <c r="M25" i="13"/>
  <c r="O25" i="13"/>
  <c r="Q25" i="13"/>
  <c r="T25" i="13"/>
  <c r="U25" i="13"/>
  <c r="W19" i="12"/>
  <c r="U19" i="12"/>
  <c r="T19" i="12"/>
  <c r="S19" i="12"/>
  <c r="R19" i="12"/>
  <c r="Q19" i="12"/>
  <c r="P19" i="12"/>
  <c r="O19" i="12"/>
  <c r="N19" i="12"/>
  <c r="M19" i="12"/>
  <c r="L19" i="12"/>
  <c r="K19" i="12"/>
  <c r="J19" i="12"/>
  <c r="W32" i="12"/>
  <c r="V32" i="12"/>
  <c r="U32" i="12"/>
  <c r="T32" i="12"/>
  <c r="S32" i="12"/>
  <c r="R32" i="12"/>
  <c r="Q32" i="12"/>
  <c r="P32" i="12"/>
  <c r="O32" i="12"/>
  <c r="N32" i="12"/>
  <c r="M32" i="12"/>
  <c r="L32" i="12"/>
  <c r="K32" i="12"/>
  <c r="J32" i="12"/>
  <c r="W42" i="12"/>
  <c r="W31" i="11" s="1"/>
  <c r="V42" i="12"/>
  <c r="U42" i="12"/>
  <c r="T42" i="12"/>
  <c r="S42" i="12"/>
  <c r="S31" i="11" s="1"/>
  <c r="R42" i="12"/>
  <c r="R31" i="11" s="1"/>
  <c r="Q42" i="12"/>
  <c r="P42" i="12"/>
  <c r="P31" i="11" s="1"/>
  <c r="O42" i="12"/>
  <c r="N42" i="12"/>
  <c r="N31" i="11" s="1"/>
  <c r="M42" i="12"/>
  <c r="L42" i="12"/>
  <c r="K42" i="12"/>
  <c r="K31" i="11" s="1"/>
  <c r="J42" i="12"/>
  <c r="G19" i="12" l="1"/>
  <c r="H19" i="12"/>
  <c r="I19" i="12"/>
  <c r="I42" i="12"/>
  <c r="G42" i="12"/>
  <c r="F42" i="12"/>
  <c r="I32" i="12"/>
  <c r="G32" i="12"/>
  <c r="F32" i="12"/>
  <c r="F19" i="12"/>
  <c r="I7" i="11"/>
  <c r="I8" i="11"/>
  <c r="I9" i="11"/>
  <c r="I10" i="11"/>
  <c r="I11" i="11"/>
  <c r="I12" i="11"/>
  <c r="I13" i="11"/>
  <c r="I14" i="11"/>
  <c r="I15" i="11"/>
  <c r="I19" i="11"/>
  <c r="I20" i="11"/>
  <c r="I21" i="11"/>
  <c r="I22" i="11"/>
  <c r="N10" i="1" l="1"/>
  <c r="F3" i="3" l="1"/>
  <c r="L51" i="4"/>
  <c r="L52" i="4" s="1"/>
  <c r="J51" i="4"/>
  <c r="J52" i="4" s="1"/>
  <c r="H51" i="4"/>
  <c r="H52" i="4" s="1"/>
  <c r="F51" i="4"/>
  <c r="F52" i="4" s="1"/>
  <c r="D51" i="4"/>
  <c r="D52" i="4" s="1"/>
  <c r="N50" i="4"/>
  <c r="N49" i="4"/>
  <c r="N43" i="1"/>
  <c r="K1" i="3" l="1"/>
  <c r="K5" i="3" s="1"/>
  <c r="F29" i="3"/>
  <c r="F17" i="3"/>
  <c r="F14" i="3"/>
  <c r="F16" i="3"/>
  <c r="F15" i="3"/>
  <c r="F40" i="3"/>
  <c r="F23" i="3"/>
  <c r="F26" i="3"/>
  <c r="F41" i="3"/>
  <c r="F38" i="3"/>
  <c r="F22" i="3"/>
  <c r="F31" i="3"/>
  <c r="F35" i="3"/>
  <c r="F18" i="3"/>
  <c r="F30" i="3"/>
  <c r="F24" i="3"/>
  <c r="F28" i="3"/>
  <c r="F27" i="3"/>
  <c r="F25" i="3"/>
  <c r="F13" i="3"/>
  <c r="Q1" i="3"/>
  <c r="N51" i="4"/>
  <c r="M19" i="11"/>
  <c r="H14" i="3" l="1"/>
  <c r="H31" i="13"/>
  <c r="K31" i="13"/>
  <c r="N31" i="13"/>
  <c r="O31" i="13"/>
  <c r="P31" i="13"/>
  <c r="R31" i="13"/>
  <c r="S31" i="13"/>
  <c r="G18" i="13"/>
  <c r="G27" i="13" s="1"/>
  <c r="G31" i="13" s="1"/>
  <c r="G35" i="13" s="1"/>
  <c r="H18" i="13"/>
  <c r="I18" i="13"/>
  <c r="I27" i="13" s="1"/>
  <c r="I31" i="13" s="1"/>
  <c r="I35" i="13" s="1"/>
  <c r="J18" i="13"/>
  <c r="J27" i="13" s="1"/>
  <c r="J31" i="13" s="1"/>
  <c r="J35" i="13" s="1"/>
  <c r="K18" i="13"/>
  <c r="L18" i="13"/>
  <c r="L27" i="13" s="1"/>
  <c r="L31" i="13" s="1"/>
  <c r="L35" i="13" s="1"/>
  <c r="M18" i="13"/>
  <c r="M27" i="13" s="1"/>
  <c r="M31" i="13" s="1"/>
  <c r="M35" i="13" s="1"/>
  <c r="N18" i="13"/>
  <c r="O18" i="13"/>
  <c r="P18" i="13"/>
  <c r="Q18" i="13"/>
  <c r="Q27" i="13" s="1"/>
  <c r="Q31" i="13" s="1"/>
  <c r="Q35" i="13" s="1"/>
  <c r="R18" i="13"/>
  <c r="S18" i="13"/>
  <c r="T18" i="13"/>
  <c r="T27" i="13" s="1"/>
  <c r="T31" i="13" s="1"/>
  <c r="T35" i="13" s="1"/>
  <c r="U18" i="13"/>
  <c r="U27" i="13" s="1"/>
  <c r="U31" i="13" s="1"/>
  <c r="U35" i="13" s="1"/>
  <c r="V18" i="13"/>
  <c r="V31" i="13" s="1"/>
  <c r="V35" i="13" s="1"/>
  <c r="W18" i="13"/>
  <c r="F18" i="13"/>
  <c r="F27" i="13" s="1"/>
  <c r="F31" i="13" s="1"/>
  <c r="F35" i="13" s="1"/>
  <c r="J14" i="3" l="1"/>
  <c r="X8" i="13"/>
  <c r="AD8" i="13" s="1"/>
  <c r="X9" i="13"/>
  <c r="AD9" i="13" s="1"/>
  <c r="X10" i="13"/>
  <c r="AD10" i="13" s="1"/>
  <c r="X11" i="13"/>
  <c r="AD11" i="13" s="1"/>
  <c r="X12" i="13"/>
  <c r="AD12" i="13" s="1"/>
  <c r="X13" i="13"/>
  <c r="AD13" i="13" s="1"/>
  <c r="X14" i="13"/>
  <c r="AD14" i="13" s="1"/>
  <c r="X15" i="13"/>
  <c r="AD15" i="13" s="1"/>
  <c r="X16" i="13"/>
  <c r="AD16" i="13" s="1"/>
  <c r="X17" i="13"/>
  <c r="AD17" i="13" s="1"/>
  <c r="X18" i="13"/>
  <c r="AD18" i="13" s="1"/>
  <c r="X21" i="13"/>
  <c r="AD21" i="13" s="1"/>
  <c r="X22" i="13"/>
  <c r="AD22" i="13" s="1"/>
  <c r="X23" i="13"/>
  <c r="AD23" i="13" s="1"/>
  <c r="X24" i="13"/>
  <c r="AD24" i="13" s="1"/>
  <c r="X25" i="13"/>
  <c r="AD25" i="13" s="1"/>
  <c r="X27" i="13"/>
  <c r="AD27" i="13" s="1"/>
  <c r="X28" i="13"/>
  <c r="AD28" i="13" s="1"/>
  <c r="X29" i="13"/>
  <c r="AD29" i="13" s="1"/>
  <c r="X30" i="13"/>
  <c r="AD30" i="13" s="1"/>
  <c r="X31" i="13"/>
  <c r="AD31" i="13" s="1"/>
  <c r="X7" i="13"/>
  <c r="AD7" i="13" s="1"/>
  <c r="X36" i="12" l="1"/>
  <c r="AJ36" i="12" s="1"/>
  <c r="X37" i="12"/>
  <c r="AJ37" i="12" s="1"/>
  <c r="X38" i="12"/>
  <c r="AJ38" i="12" s="1"/>
  <c r="X39" i="12"/>
  <c r="AJ39" i="12" s="1"/>
  <c r="X40" i="12"/>
  <c r="AJ40" i="12" s="1"/>
  <c r="X41" i="12"/>
  <c r="AJ41" i="12" s="1"/>
  <c r="X35" i="12"/>
  <c r="AJ35" i="12" s="1"/>
  <c r="X23" i="12"/>
  <c r="AJ23" i="12" s="1"/>
  <c r="X24" i="12"/>
  <c r="AJ24" i="12" s="1"/>
  <c r="X25" i="12"/>
  <c r="AJ25" i="12" s="1"/>
  <c r="X26" i="12"/>
  <c r="AJ26" i="12" s="1"/>
  <c r="X27" i="12"/>
  <c r="AJ27" i="12" s="1"/>
  <c r="X28" i="12"/>
  <c r="AJ28" i="12" s="1"/>
  <c r="X29" i="12"/>
  <c r="AJ29" i="12" s="1"/>
  <c r="X30" i="12"/>
  <c r="AJ30" i="12" s="1"/>
  <c r="X31" i="12"/>
  <c r="AJ31" i="12" s="1"/>
  <c r="X22" i="12"/>
  <c r="AJ22" i="12" s="1"/>
  <c r="X8" i="12"/>
  <c r="AJ8" i="12" s="1"/>
  <c r="X9" i="12"/>
  <c r="AJ9" i="12" s="1"/>
  <c r="X10" i="12"/>
  <c r="AJ10" i="12" s="1"/>
  <c r="X11" i="12"/>
  <c r="AJ11" i="12" s="1"/>
  <c r="X12" i="12"/>
  <c r="AJ12" i="12" s="1"/>
  <c r="X13" i="12"/>
  <c r="AJ13" i="12" s="1"/>
  <c r="X15" i="12"/>
  <c r="AJ15" i="12" s="1"/>
  <c r="X16" i="12"/>
  <c r="AJ16" i="12" s="1"/>
  <c r="X17" i="12"/>
  <c r="AJ17" i="12" s="1"/>
  <c r="X18" i="12"/>
  <c r="AJ18" i="12" s="1"/>
  <c r="X7" i="12"/>
  <c r="AJ7" i="12" s="1"/>
  <c r="X42" i="12" l="1"/>
  <c r="X19" i="12"/>
  <c r="AJ19" i="12" s="1"/>
  <c r="X32" i="12"/>
  <c r="AJ32" i="12" s="1"/>
  <c r="T33" i="13"/>
  <c r="AJ42" i="12" l="1"/>
  <c r="Q2" i="3"/>
  <c r="Z33" i="13" l="1"/>
  <c r="F33" i="13"/>
  <c r="G33" i="13"/>
  <c r="H33" i="13"/>
  <c r="I33" i="13"/>
  <c r="J33" i="13"/>
  <c r="K33" i="13"/>
  <c r="L33" i="13"/>
  <c r="M33" i="13"/>
  <c r="N33" i="13"/>
  <c r="O33" i="13"/>
  <c r="P33" i="13"/>
  <c r="Q33" i="13"/>
  <c r="R33" i="13"/>
  <c r="S33" i="13"/>
  <c r="U33" i="13"/>
  <c r="V33" i="13"/>
  <c r="W33" i="13"/>
  <c r="X33" i="13"/>
  <c r="E33" i="13"/>
  <c r="L128" i="4" l="1"/>
  <c r="J128" i="4"/>
  <c r="H128" i="4"/>
  <c r="F128" i="4"/>
  <c r="D128" i="4"/>
  <c r="L119" i="4"/>
  <c r="J119" i="4"/>
  <c r="H119" i="4"/>
  <c r="F119" i="4"/>
  <c r="D119" i="4"/>
  <c r="L106" i="4"/>
  <c r="L107" i="4" s="1"/>
  <c r="J106" i="4"/>
  <c r="J107" i="4" s="1"/>
  <c r="H106" i="4"/>
  <c r="H107" i="4" s="1"/>
  <c r="F106" i="4"/>
  <c r="F107" i="4" s="1"/>
  <c r="D106" i="4"/>
  <c r="D107" i="4" s="1"/>
  <c r="N105" i="4"/>
  <c r="N104" i="4"/>
  <c r="N106" i="4" l="1"/>
  <c r="V28" i="11"/>
  <c r="V27" i="11"/>
  <c r="V20" i="11"/>
  <c r="V21" i="11"/>
  <c r="V22" i="11"/>
  <c r="V19" i="11"/>
  <c r="V8" i="11"/>
  <c r="V9" i="11"/>
  <c r="V10" i="11"/>
  <c r="V11" i="11"/>
  <c r="V12" i="11"/>
  <c r="V13" i="11"/>
  <c r="V14" i="11"/>
  <c r="V15" i="11"/>
  <c r="V7" i="11"/>
  <c r="U28" i="11"/>
  <c r="U27" i="11"/>
  <c r="U20" i="11"/>
  <c r="U21" i="11"/>
  <c r="U22" i="11"/>
  <c r="U19" i="11"/>
  <c r="U8" i="11"/>
  <c r="U9" i="11"/>
  <c r="U10" i="11"/>
  <c r="U11" i="11"/>
  <c r="U12" i="11"/>
  <c r="U13" i="11"/>
  <c r="U14" i="11"/>
  <c r="U15" i="11"/>
  <c r="U7" i="11"/>
  <c r="T28" i="11"/>
  <c r="T27" i="11"/>
  <c r="T20" i="11"/>
  <c r="T21" i="11"/>
  <c r="T22" i="11"/>
  <c r="T19" i="11"/>
  <c r="T8" i="11"/>
  <c r="T9" i="11"/>
  <c r="T10" i="11"/>
  <c r="T11" i="11"/>
  <c r="T12" i="11"/>
  <c r="T13" i="11"/>
  <c r="T14" i="11"/>
  <c r="T15" i="11"/>
  <c r="T7" i="11"/>
  <c r="Q28" i="11"/>
  <c r="Q27" i="11"/>
  <c r="Q20" i="11"/>
  <c r="Q21" i="11"/>
  <c r="Q22" i="11"/>
  <c r="Q19" i="11"/>
  <c r="Q8" i="11"/>
  <c r="Q9" i="11"/>
  <c r="Q10" i="11"/>
  <c r="Q11" i="11"/>
  <c r="Q12" i="11"/>
  <c r="Q13" i="11"/>
  <c r="Q14" i="11"/>
  <c r="Q15" i="11"/>
  <c r="Q7" i="11"/>
  <c r="O28" i="11"/>
  <c r="O27" i="11"/>
  <c r="O20" i="11"/>
  <c r="O21" i="11"/>
  <c r="O22" i="11"/>
  <c r="O19" i="11"/>
  <c r="O8" i="11"/>
  <c r="O9" i="11"/>
  <c r="O10" i="11"/>
  <c r="O11" i="11"/>
  <c r="O12" i="11"/>
  <c r="O13" i="11"/>
  <c r="O14" i="11"/>
  <c r="O15" i="11"/>
  <c r="O7" i="11"/>
  <c r="M28" i="11"/>
  <c r="M27" i="11"/>
  <c r="M20" i="11"/>
  <c r="M21" i="11"/>
  <c r="M22" i="11"/>
  <c r="M8" i="11"/>
  <c r="M9" i="11"/>
  <c r="M10" i="11"/>
  <c r="M11" i="11"/>
  <c r="M12" i="11"/>
  <c r="M13" i="11"/>
  <c r="M14" i="11"/>
  <c r="M15" i="11"/>
  <c r="M7" i="11"/>
  <c r="L28" i="11"/>
  <c r="L27" i="11"/>
  <c r="L20" i="11"/>
  <c r="L21" i="11"/>
  <c r="L22" i="11"/>
  <c r="L19" i="11"/>
  <c r="L8" i="11"/>
  <c r="L9" i="11"/>
  <c r="L10" i="11"/>
  <c r="L11" i="11"/>
  <c r="L12" i="11"/>
  <c r="L13" i="11"/>
  <c r="L14" i="11"/>
  <c r="L15" i="11"/>
  <c r="L7" i="11"/>
  <c r="J28" i="11"/>
  <c r="J27" i="11"/>
  <c r="J20" i="11"/>
  <c r="J21" i="11"/>
  <c r="J22" i="11"/>
  <c r="J19" i="11"/>
  <c r="J8" i="11"/>
  <c r="J9" i="11"/>
  <c r="J10" i="11"/>
  <c r="J11" i="11"/>
  <c r="J12" i="11"/>
  <c r="J13" i="11"/>
  <c r="J14" i="11"/>
  <c r="J15" i="11"/>
  <c r="J7" i="11"/>
  <c r="I28" i="11"/>
  <c r="I27" i="11"/>
  <c r="G28" i="11"/>
  <c r="G27" i="11"/>
  <c r="G20" i="11"/>
  <c r="G21" i="11"/>
  <c r="G22" i="11"/>
  <c r="G19" i="11"/>
  <c r="G8" i="11"/>
  <c r="G9" i="11"/>
  <c r="G10" i="11"/>
  <c r="G11" i="11"/>
  <c r="G12" i="11"/>
  <c r="G13" i="11"/>
  <c r="G14" i="11"/>
  <c r="G15" i="11"/>
  <c r="G7" i="11"/>
  <c r="F28" i="11"/>
  <c r="F27" i="11"/>
  <c r="F20" i="11"/>
  <c r="F21" i="11"/>
  <c r="F22" i="11"/>
  <c r="F19" i="11"/>
  <c r="F8" i="11"/>
  <c r="F9" i="11"/>
  <c r="F10" i="11"/>
  <c r="F11" i="11"/>
  <c r="F12" i="11"/>
  <c r="F13" i="11"/>
  <c r="F14" i="11"/>
  <c r="F15" i="11"/>
  <c r="F7" i="11"/>
  <c r="V38" i="10"/>
  <c r="V40" i="10"/>
  <c r="V41" i="10"/>
  <c r="V35" i="10"/>
  <c r="V23" i="10"/>
  <c r="V24" i="10"/>
  <c r="V25" i="10"/>
  <c r="V26" i="10"/>
  <c r="V27" i="10"/>
  <c r="V28" i="10"/>
  <c r="V30" i="10"/>
  <c r="V31" i="10"/>
  <c r="V22" i="10"/>
  <c r="V8" i="10"/>
  <c r="V9" i="10"/>
  <c r="V10" i="10"/>
  <c r="V11" i="10"/>
  <c r="V12" i="10"/>
  <c r="V13" i="10"/>
  <c r="V15" i="10"/>
  <c r="V16" i="10"/>
  <c r="V17" i="10"/>
  <c r="V18" i="10"/>
  <c r="V7" i="10"/>
  <c r="U38" i="10"/>
  <c r="U40" i="10"/>
  <c r="U41" i="10"/>
  <c r="U35" i="10"/>
  <c r="U23" i="10"/>
  <c r="U24" i="10"/>
  <c r="U25" i="10"/>
  <c r="U26" i="10"/>
  <c r="U27" i="10"/>
  <c r="U28" i="10"/>
  <c r="U30" i="10"/>
  <c r="U31" i="10"/>
  <c r="U22" i="10"/>
  <c r="U8" i="10"/>
  <c r="U9" i="10"/>
  <c r="U10" i="10"/>
  <c r="U11" i="10"/>
  <c r="U12" i="10"/>
  <c r="U13" i="10"/>
  <c r="U15" i="10"/>
  <c r="U16" i="10"/>
  <c r="U17" i="10"/>
  <c r="U18" i="10"/>
  <c r="U7" i="10"/>
  <c r="T38" i="10"/>
  <c r="T40" i="10"/>
  <c r="T41" i="10"/>
  <c r="T35" i="10"/>
  <c r="T23" i="10"/>
  <c r="T24" i="10"/>
  <c r="T25" i="10"/>
  <c r="T26" i="10"/>
  <c r="T27" i="10"/>
  <c r="T28" i="10"/>
  <c r="T30" i="10"/>
  <c r="T31" i="10"/>
  <c r="T22" i="10"/>
  <c r="T8" i="10"/>
  <c r="T9" i="10"/>
  <c r="T10" i="10"/>
  <c r="T11" i="10"/>
  <c r="T12" i="10"/>
  <c r="T13" i="10"/>
  <c r="T15" i="10"/>
  <c r="T16" i="10"/>
  <c r="T17" i="10"/>
  <c r="T18" i="10"/>
  <c r="T7" i="10"/>
  <c r="Q38" i="10"/>
  <c r="Q40" i="10"/>
  <c r="Q41" i="10"/>
  <c r="Q35" i="10"/>
  <c r="Q23" i="10"/>
  <c r="Q24" i="10"/>
  <c r="Q25" i="10"/>
  <c r="Q26" i="10"/>
  <c r="Q27" i="10"/>
  <c r="Q28" i="10"/>
  <c r="Q30" i="10"/>
  <c r="Q31" i="10"/>
  <c r="Q22" i="10"/>
  <c r="Q8" i="10"/>
  <c r="Q9" i="10"/>
  <c r="Q10" i="10"/>
  <c r="Q11" i="10"/>
  <c r="Q12" i="10"/>
  <c r="Q13" i="10"/>
  <c r="Q15" i="10"/>
  <c r="Q16" i="10"/>
  <c r="Q17" i="10"/>
  <c r="Q18" i="10"/>
  <c r="Q7" i="10"/>
  <c r="O38" i="10"/>
  <c r="O40" i="10"/>
  <c r="O41" i="10"/>
  <c r="O35" i="10"/>
  <c r="O23" i="10"/>
  <c r="O24" i="10"/>
  <c r="O25" i="10"/>
  <c r="O26" i="10"/>
  <c r="O27" i="10"/>
  <c r="O28" i="10"/>
  <c r="O30" i="10"/>
  <c r="O31" i="10"/>
  <c r="O22" i="10"/>
  <c r="O8" i="10"/>
  <c r="O9" i="10"/>
  <c r="O10" i="10"/>
  <c r="O11" i="10"/>
  <c r="O12" i="10"/>
  <c r="O13" i="10"/>
  <c r="O15" i="10"/>
  <c r="O16" i="10"/>
  <c r="O17" i="10"/>
  <c r="O18" i="10"/>
  <c r="O7" i="10"/>
  <c r="M38" i="10"/>
  <c r="M40" i="10"/>
  <c r="M41" i="10"/>
  <c r="M35" i="10"/>
  <c r="M23" i="10"/>
  <c r="M24" i="10"/>
  <c r="M25" i="10"/>
  <c r="M26" i="10"/>
  <c r="M27" i="10"/>
  <c r="M28" i="10"/>
  <c r="M30" i="10"/>
  <c r="M31" i="10"/>
  <c r="M22" i="10"/>
  <c r="M8" i="10"/>
  <c r="M9" i="10"/>
  <c r="M10" i="10"/>
  <c r="M11" i="10"/>
  <c r="M12" i="10"/>
  <c r="M13" i="10"/>
  <c r="M15" i="10"/>
  <c r="M16" i="10"/>
  <c r="M17" i="10"/>
  <c r="M18" i="10"/>
  <c r="M7" i="10"/>
  <c r="L38" i="10"/>
  <c r="L40" i="10"/>
  <c r="L41" i="10"/>
  <c r="L35" i="10"/>
  <c r="L23" i="10"/>
  <c r="L24" i="10"/>
  <c r="L25" i="10"/>
  <c r="L26" i="10"/>
  <c r="L27" i="10"/>
  <c r="L28" i="10"/>
  <c r="L30" i="10"/>
  <c r="L31" i="10"/>
  <c r="L22" i="10"/>
  <c r="L8" i="10"/>
  <c r="L9" i="10"/>
  <c r="L10" i="10"/>
  <c r="L11" i="10"/>
  <c r="L12" i="10"/>
  <c r="L13" i="10"/>
  <c r="L15" i="10"/>
  <c r="L16" i="10"/>
  <c r="L17" i="10"/>
  <c r="L18" i="10"/>
  <c r="L7" i="10"/>
  <c r="J38" i="10"/>
  <c r="J40" i="10"/>
  <c r="J41" i="10"/>
  <c r="J35" i="10"/>
  <c r="J23" i="10"/>
  <c r="J24" i="10"/>
  <c r="J25" i="10"/>
  <c r="J26" i="10"/>
  <c r="J27" i="10"/>
  <c r="J28" i="10"/>
  <c r="J30" i="10"/>
  <c r="J31" i="10"/>
  <c r="J22" i="10"/>
  <c r="J8" i="10"/>
  <c r="J9" i="10"/>
  <c r="J10" i="10"/>
  <c r="J11" i="10"/>
  <c r="J12" i="10"/>
  <c r="J13" i="10"/>
  <c r="J15" i="10"/>
  <c r="J16" i="10"/>
  <c r="J17" i="10"/>
  <c r="J18" i="10"/>
  <c r="J7" i="10"/>
  <c r="AE54" i="12"/>
  <c r="S44" i="12"/>
  <c r="R44" i="12"/>
  <c r="P44" i="12"/>
  <c r="N44" i="12"/>
  <c r="K44" i="12"/>
  <c r="H44" i="12"/>
  <c r="E44" i="12"/>
  <c r="AB44" i="12"/>
  <c r="AA44" i="12"/>
  <c r="Z44" i="12"/>
  <c r="L44" i="12"/>
  <c r="J44" i="12"/>
  <c r="Q44" i="12"/>
  <c r="M44" i="12"/>
  <c r="Q16" i="11" l="1"/>
  <c r="U44" i="12"/>
  <c r="V44" i="12"/>
  <c r="T44" i="12"/>
  <c r="G44" i="12"/>
  <c r="O44" i="12"/>
  <c r="F44" i="12"/>
  <c r="I44" i="12"/>
  <c r="AD44" i="12"/>
  <c r="AF47" i="12" l="1"/>
  <c r="X44" i="12"/>
  <c r="AF46" i="12"/>
  <c r="AF44" i="12" l="1"/>
  <c r="AE44" i="12"/>
  <c r="F16" i="11" l="1"/>
  <c r="G16" i="11"/>
  <c r="H16" i="11"/>
  <c r="I16" i="11"/>
  <c r="J16" i="11"/>
  <c r="K16" i="11"/>
  <c r="L16" i="11"/>
  <c r="M16" i="11"/>
  <c r="N16" i="11"/>
  <c r="O16" i="11"/>
  <c r="P16" i="11"/>
  <c r="R16" i="11"/>
  <c r="S16" i="11"/>
  <c r="T16" i="11"/>
  <c r="U16" i="11"/>
  <c r="V16" i="11"/>
  <c r="X10" i="10" l="1"/>
  <c r="X22" i="10" l="1"/>
  <c r="X27" i="11" l="1"/>
  <c r="D51" i="1" l="1"/>
  <c r="D132" i="18" s="1"/>
  <c r="D10" i="3"/>
  <c r="D136" i="18" l="1"/>
  <c r="Q19" i="10"/>
  <c r="X15" i="10"/>
  <c r="E19" i="10"/>
  <c r="F19" i="10"/>
  <c r="G19" i="10"/>
  <c r="H19" i="10"/>
  <c r="I19" i="10"/>
  <c r="J19" i="10"/>
  <c r="K19" i="10"/>
  <c r="L19" i="10"/>
  <c r="N19" i="10"/>
  <c r="O19" i="10"/>
  <c r="P19" i="10"/>
  <c r="R19" i="10"/>
  <c r="S19" i="10"/>
  <c r="T19" i="10"/>
  <c r="U19" i="10"/>
  <c r="V19" i="10"/>
  <c r="E16" i="11"/>
  <c r="D111" i="4"/>
  <c r="N24" i="1"/>
  <c r="D15" i="3" s="1"/>
  <c r="K15" i="3" s="1"/>
  <c r="X28" i="11"/>
  <c r="X21" i="11"/>
  <c r="T23" i="11"/>
  <c r="X20" i="11"/>
  <c r="V23" i="11"/>
  <c r="V25" i="11" s="1"/>
  <c r="V29" i="11" s="1"/>
  <c r="V31" i="11" s="1"/>
  <c r="S23" i="11"/>
  <c r="R23" i="11"/>
  <c r="O23" i="11"/>
  <c r="N23" i="11"/>
  <c r="K23" i="11"/>
  <c r="X19" i="11"/>
  <c r="F23" i="11"/>
  <c r="X12" i="11"/>
  <c r="X8" i="11"/>
  <c r="V42" i="10"/>
  <c r="V32" i="11" s="1"/>
  <c r="U42" i="10"/>
  <c r="T42" i="10"/>
  <c r="S42" i="10"/>
  <c r="S32" i="11" s="1"/>
  <c r="R42" i="10"/>
  <c r="R32" i="11" s="1"/>
  <c r="Q42" i="10"/>
  <c r="P42" i="10"/>
  <c r="P32" i="11" s="1"/>
  <c r="O42" i="10"/>
  <c r="N42" i="10"/>
  <c r="N32" i="11" s="1"/>
  <c r="M42" i="10"/>
  <c r="L42" i="10"/>
  <c r="K42" i="10"/>
  <c r="K32" i="11" s="1"/>
  <c r="J42" i="10"/>
  <c r="I42" i="10"/>
  <c r="H42" i="10"/>
  <c r="H32" i="11" s="1"/>
  <c r="G42" i="10"/>
  <c r="F42" i="10"/>
  <c r="E42" i="10"/>
  <c r="E32" i="11" s="1"/>
  <c r="X41" i="10"/>
  <c r="X40" i="10"/>
  <c r="X39" i="10"/>
  <c r="X38" i="10"/>
  <c r="X37" i="10"/>
  <c r="X36" i="10"/>
  <c r="X35" i="10"/>
  <c r="V32" i="10"/>
  <c r="U32" i="10"/>
  <c r="T32" i="10"/>
  <c r="S32" i="10"/>
  <c r="R32" i="10"/>
  <c r="Q32" i="10"/>
  <c r="P32" i="10"/>
  <c r="O32" i="10"/>
  <c r="N32" i="10"/>
  <c r="M32" i="10"/>
  <c r="L32" i="10"/>
  <c r="K32" i="10"/>
  <c r="J32" i="10"/>
  <c r="I32" i="10"/>
  <c r="H32" i="10"/>
  <c r="G32" i="10"/>
  <c r="F32" i="10"/>
  <c r="E32" i="10"/>
  <c r="X31" i="10"/>
  <c r="X30" i="10"/>
  <c r="X29" i="10"/>
  <c r="X28" i="10"/>
  <c r="X27" i="10"/>
  <c r="X26" i="10"/>
  <c r="X25" i="10"/>
  <c r="X24" i="10"/>
  <c r="X23" i="10"/>
  <c r="X18" i="10"/>
  <c r="X17" i="10"/>
  <c r="X16" i="10"/>
  <c r="X13" i="10"/>
  <c r="X11" i="10"/>
  <c r="X9" i="10"/>
  <c r="X8" i="10"/>
  <c r="X7" i="10"/>
  <c r="F3" i="5"/>
  <c r="K1" i="5" s="1"/>
  <c r="K5" i="5" s="1"/>
  <c r="F8" i="3"/>
  <c r="U23" i="11"/>
  <c r="Q23" i="11"/>
  <c r="P23" i="11"/>
  <c r="M23" i="11"/>
  <c r="M25" i="11" s="1"/>
  <c r="M29" i="11" s="1"/>
  <c r="M31" i="11" s="1"/>
  <c r="L23" i="11"/>
  <c r="I23" i="11"/>
  <c r="G23" i="11"/>
  <c r="D7" i="7"/>
  <c r="L19" i="4"/>
  <c r="L20" i="4" s="1"/>
  <c r="J19" i="4"/>
  <c r="J20" i="4" s="1"/>
  <c r="H19" i="4"/>
  <c r="H20" i="4" s="1"/>
  <c r="F19" i="4"/>
  <c r="F20" i="4" s="1"/>
  <c r="D19" i="4"/>
  <c r="D20" i="4" s="1"/>
  <c r="N11" i="4"/>
  <c r="N14" i="4"/>
  <c r="N12" i="4"/>
  <c r="N76" i="4"/>
  <c r="N77" i="4"/>
  <c r="N78" i="4"/>
  <c r="L79" i="4"/>
  <c r="L80" i="4" s="1"/>
  <c r="J79" i="4"/>
  <c r="J80" i="4" s="1"/>
  <c r="H79" i="4"/>
  <c r="H80" i="4" s="1"/>
  <c r="F79" i="4"/>
  <c r="F80" i="4" s="1"/>
  <c r="D79" i="4"/>
  <c r="D80" i="4" s="1"/>
  <c r="L121" i="4"/>
  <c r="L120" i="4"/>
  <c r="J121" i="4"/>
  <c r="J120" i="4"/>
  <c r="H121" i="4"/>
  <c r="H120" i="4"/>
  <c r="F121" i="4"/>
  <c r="F120" i="4"/>
  <c r="D121" i="4"/>
  <c r="D120" i="4"/>
  <c r="D101" i="4"/>
  <c r="F101" i="4"/>
  <c r="H101" i="4"/>
  <c r="J101" i="4"/>
  <c r="L101" i="4"/>
  <c r="N25" i="4"/>
  <c r="N24" i="4"/>
  <c r="N69" i="4"/>
  <c r="N68" i="4"/>
  <c r="N67" i="4"/>
  <c r="N32" i="4"/>
  <c r="N38" i="4"/>
  <c r="N44" i="4"/>
  <c r="N56" i="4"/>
  <c r="N62" i="4"/>
  <c r="N31" i="4"/>
  <c r="N37" i="4"/>
  <c r="N43" i="4"/>
  <c r="N55" i="4"/>
  <c r="N61" i="4"/>
  <c r="N26" i="4"/>
  <c r="N23" i="4"/>
  <c r="N17" i="4"/>
  <c r="N15" i="4"/>
  <c r="N18" i="4"/>
  <c r="L51" i="1"/>
  <c r="L111" i="4"/>
  <c r="L112" i="4"/>
  <c r="L113" i="4"/>
  <c r="L114" i="4"/>
  <c r="L115" i="4"/>
  <c r="J51" i="1"/>
  <c r="J111" i="4"/>
  <c r="J112" i="4"/>
  <c r="J113" i="4"/>
  <c r="J114" i="4"/>
  <c r="J115" i="4"/>
  <c r="H51" i="1"/>
  <c r="H111" i="4"/>
  <c r="H112" i="4"/>
  <c r="H113" i="4"/>
  <c r="H114" i="4"/>
  <c r="H115" i="4"/>
  <c r="F51" i="1"/>
  <c r="F111" i="4"/>
  <c r="F112" i="4"/>
  <c r="F113" i="4"/>
  <c r="F114" i="4"/>
  <c r="F115" i="4"/>
  <c r="D112" i="4"/>
  <c r="D113" i="4"/>
  <c r="D114" i="4"/>
  <c r="D115" i="4"/>
  <c r="N12" i="2"/>
  <c r="D7" i="5" s="1"/>
  <c r="N10" i="2"/>
  <c r="N11" i="2"/>
  <c r="N13" i="2"/>
  <c r="N14" i="2"/>
  <c r="N15" i="2"/>
  <c r="D12" i="5" s="1"/>
  <c r="N16" i="2"/>
  <c r="D13" i="5" s="1"/>
  <c r="N17" i="2"/>
  <c r="N18" i="2"/>
  <c r="N23" i="2"/>
  <c r="D22" i="5" s="1"/>
  <c r="N29" i="2"/>
  <c r="O29" i="2" s="1"/>
  <c r="L19" i="2"/>
  <c r="L24" i="2"/>
  <c r="J19" i="2"/>
  <c r="J24" i="2"/>
  <c r="H19" i="2"/>
  <c r="H24" i="2"/>
  <c r="F19" i="2"/>
  <c r="F24" i="2"/>
  <c r="D19" i="2"/>
  <c r="D24" i="2"/>
  <c r="N100" i="4"/>
  <c r="N99" i="4"/>
  <c r="D95" i="4"/>
  <c r="D96" i="4" s="1"/>
  <c r="F95" i="4"/>
  <c r="F96" i="4" s="1"/>
  <c r="H95" i="4"/>
  <c r="H96" i="4" s="1"/>
  <c r="J95" i="4"/>
  <c r="J96" i="4" s="1"/>
  <c r="L95" i="4"/>
  <c r="L96" i="4" s="1"/>
  <c r="N94" i="4"/>
  <c r="N93" i="4"/>
  <c r="D89" i="4"/>
  <c r="D90" i="4" s="1"/>
  <c r="F89" i="4"/>
  <c r="H89" i="4"/>
  <c r="H90" i="4" s="1"/>
  <c r="J89" i="4"/>
  <c r="J90" i="4" s="1"/>
  <c r="L89" i="4"/>
  <c r="L90" i="4" s="1"/>
  <c r="N88" i="4"/>
  <c r="N87" i="4"/>
  <c r="N9" i="1"/>
  <c r="D7" i="3" s="1"/>
  <c r="N12" i="1"/>
  <c r="N11" i="1"/>
  <c r="N13" i="1"/>
  <c r="N14" i="1"/>
  <c r="N15" i="1"/>
  <c r="N16" i="1"/>
  <c r="N26" i="1"/>
  <c r="N17" i="1"/>
  <c r="N18" i="1"/>
  <c r="N20" i="1"/>
  <c r="D11" i="3" s="1"/>
  <c r="K11" i="3" s="1"/>
  <c r="N21" i="1"/>
  <c r="N22" i="1"/>
  <c r="D13" i="3" s="1"/>
  <c r="N25" i="1"/>
  <c r="N31" i="1"/>
  <c r="N39" i="1"/>
  <c r="N33" i="1"/>
  <c r="D23" i="3" s="1"/>
  <c r="N34" i="1"/>
  <c r="D24" i="3" s="1"/>
  <c r="K24" i="3" s="1"/>
  <c r="N35" i="1"/>
  <c r="D25" i="3" s="1"/>
  <c r="N36" i="1"/>
  <c r="D26" i="3" s="1"/>
  <c r="N37" i="1"/>
  <c r="D27" i="3" s="1"/>
  <c r="K27" i="3" s="1"/>
  <c r="N38" i="1"/>
  <c r="D28" i="3" s="1"/>
  <c r="N50" i="1"/>
  <c r="L28" i="1"/>
  <c r="L46" i="1"/>
  <c r="J28" i="1"/>
  <c r="J46" i="1"/>
  <c r="H28" i="1"/>
  <c r="H46" i="1"/>
  <c r="F28" i="1"/>
  <c r="F46" i="1"/>
  <c r="D28" i="1"/>
  <c r="D46" i="1"/>
  <c r="L4" i="4"/>
  <c r="J4" i="4"/>
  <c r="H4" i="4"/>
  <c r="F4" i="4"/>
  <c r="D4" i="4"/>
  <c r="L27" i="4"/>
  <c r="L28" i="4" s="1"/>
  <c r="J27" i="4"/>
  <c r="J28" i="4" s="1"/>
  <c r="H27" i="4"/>
  <c r="H28" i="4" s="1"/>
  <c r="F27" i="4"/>
  <c r="F28" i="4" s="1"/>
  <c r="L70" i="4"/>
  <c r="L71" i="4" s="1"/>
  <c r="J70" i="4"/>
  <c r="J71" i="4" s="1"/>
  <c r="H70" i="4"/>
  <c r="H71" i="4" s="1"/>
  <c r="F70" i="4"/>
  <c r="D70" i="4"/>
  <c r="D71" i="4" s="1"/>
  <c r="L63" i="4"/>
  <c r="L64" i="4" s="1"/>
  <c r="J63" i="4"/>
  <c r="J64" i="4" s="1"/>
  <c r="H63" i="4"/>
  <c r="H64" i="4" s="1"/>
  <c r="F63" i="4"/>
  <c r="F64" i="4" s="1"/>
  <c r="D63" i="4"/>
  <c r="L57" i="4"/>
  <c r="L58" i="4" s="1"/>
  <c r="J57" i="4"/>
  <c r="J58" i="4" s="1"/>
  <c r="H57" i="4"/>
  <c r="H58" i="4" s="1"/>
  <c r="F57" i="4"/>
  <c r="F58" i="4" s="1"/>
  <c r="D57" i="4"/>
  <c r="D58" i="4" s="1"/>
  <c r="L45" i="4"/>
  <c r="L46" i="4" s="1"/>
  <c r="J45" i="4"/>
  <c r="J46" i="4" s="1"/>
  <c r="H45" i="4"/>
  <c r="H46" i="4" s="1"/>
  <c r="F45" i="4"/>
  <c r="F46" i="4" s="1"/>
  <c r="D45" i="4"/>
  <c r="D46" i="4" s="1"/>
  <c r="L39" i="4"/>
  <c r="L40" i="4" s="1"/>
  <c r="J39" i="4"/>
  <c r="J40" i="4" s="1"/>
  <c r="H39" i="4"/>
  <c r="H40" i="4" s="1"/>
  <c r="F39" i="4"/>
  <c r="F40" i="4" s="1"/>
  <c r="D39" i="4"/>
  <c r="D40" i="4" s="1"/>
  <c r="L33" i="4"/>
  <c r="L34" i="4" s="1"/>
  <c r="J33" i="4"/>
  <c r="J34" i="4" s="1"/>
  <c r="H33" i="4"/>
  <c r="H34" i="4" s="1"/>
  <c r="F33" i="4"/>
  <c r="F34" i="4" s="1"/>
  <c r="D33" i="4"/>
  <c r="D27" i="4"/>
  <c r="D28" i="4" s="1"/>
  <c r="L5" i="1"/>
  <c r="J5" i="1"/>
  <c r="H5" i="1"/>
  <c r="F5" i="1"/>
  <c r="D5" i="1"/>
  <c r="N40" i="1"/>
  <c r="N41" i="1"/>
  <c r="N42" i="1"/>
  <c r="N49" i="1"/>
  <c r="N45" i="1"/>
  <c r="N44" i="1"/>
  <c r="N27" i="1"/>
  <c r="L5" i="2"/>
  <c r="J5" i="2"/>
  <c r="H5" i="2"/>
  <c r="F5" i="2"/>
  <c r="D5" i="2"/>
  <c r="N22" i="2"/>
  <c r="N9" i="2"/>
  <c r="X9" i="11"/>
  <c r="X10" i="11"/>
  <c r="X11" i="11"/>
  <c r="X13" i="11"/>
  <c r="X14" i="11"/>
  <c r="X15" i="11"/>
  <c r="X7" i="11"/>
  <c r="J23" i="11"/>
  <c r="J25" i="11" s="1"/>
  <c r="J29" i="11" s="1"/>
  <c r="J31" i="11" s="1"/>
  <c r="X22" i="11"/>
  <c r="H23" i="11"/>
  <c r="E23" i="11"/>
  <c r="X12" i="10"/>
  <c r="M19" i="10"/>
  <c r="F19" i="5" l="1"/>
  <c r="H19" i="5" s="1"/>
  <c r="F27" i="5"/>
  <c r="D8" i="3"/>
  <c r="D8" i="5"/>
  <c r="D11" i="5"/>
  <c r="O18" i="2"/>
  <c r="D15" i="5"/>
  <c r="O17" i="2"/>
  <c r="D14" i="5"/>
  <c r="K14" i="5" s="1"/>
  <c r="H125" i="4"/>
  <c r="H132" i="18"/>
  <c r="H136" i="18" s="1"/>
  <c r="L125" i="4"/>
  <c r="L132" i="18"/>
  <c r="L136" i="18" s="1"/>
  <c r="J125" i="4"/>
  <c r="J132" i="18"/>
  <c r="J136" i="18" s="1"/>
  <c r="N107" i="4"/>
  <c r="N114" i="18"/>
  <c r="F125" i="4"/>
  <c r="F132" i="18"/>
  <c r="J32" i="11"/>
  <c r="M32" i="11"/>
  <c r="A1" i="15"/>
  <c r="A1" i="18"/>
  <c r="D116" i="4"/>
  <c r="N28" i="2"/>
  <c r="O28" i="2" s="1"/>
  <c r="C15" i="9"/>
  <c r="O35" i="13" s="1"/>
  <c r="D28" i="5"/>
  <c r="C17" i="8" s="1"/>
  <c r="F7" i="3"/>
  <c r="H7" i="3" s="1"/>
  <c r="J7" i="3" s="1"/>
  <c r="N24" i="2"/>
  <c r="F26" i="2"/>
  <c r="N28" i="1"/>
  <c r="J26" i="2"/>
  <c r="J30" i="2" s="1"/>
  <c r="L26" i="2"/>
  <c r="L30" i="2" s="1"/>
  <c r="L32" i="2" s="1"/>
  <c r="N113" i="4"/>
  <c r="D26" i="2"/>
  <c r="D30" i="2" s="1"/>
  <c r="E25" i="11"/>
  <c r="E29" i="11" s="1"/>
  <c r="F122" i="4"/>
  <c r="F127" i="4" s="1"/>
  <c r="N120" i="4"/>
  <c r="N39" i="4"/>
  <c r="H23" i="3"/>
  <c r="F11" i="3"/>
  <c r="H11" i="3" s="1"/>
  <c r="H26" i="3"/>
  <c r="H25" i="3"/>
  <c r="H13" i="3"/>
  <c r="F9" i="3"/>
  <c r="F12" i="3"/>
  <c r="F10" i="3"/>
  <c r="H10" i="3" s="1"/>
  <c r="N25" i="11"/>
  <c r="N29" i="11" s="1"/>
  <c r="Q44" i="10"/>
  <c r="U44" i="10"/>
  <c r="K44" i="10"/>
  <c r="I25" i="11"/>
  <c r="I29" i="11" s="1"/>
  <c r="I31" i="11" s="1"/>
  <c r="U25" i="11"/>
  <c r="U29" i="11" s="1"/>
  <c r="U31" i="11" s="1"/>
  <c r="T25" i="11"/>
  <c r="T29" i="11" s="1"/>
  <c r="T31" i="11" s="1"/>
  <c r="Q25" i="11"/>
  <c r="Q29" i="11" s="1"/>
  <c r="Q31" i="11" s="1"/>
  <c r="R25" i="11"/>
  <c r="R29" i="11" s="1"/>
  <c r="T44" i="10"/>
  <c r="X32" i="10"/>
  <c r="F10" i="5"/>
  <c r="F13" i="5"/>
  <c r="F11" i="5"/>
  <c r="F28" i="5"/>
  <c r="F12" i="5"/>
  <c r="F8" i="5"/>
  <c r="F14" i="5"/>
  <c r="B2" i="8"/>
  <c r="A1" i="1"/>
  <c r="F15" i="5"/>
  <c r="F9" i="5"/>
  <c r="F20" i="5"/>
  <c r="F21" i="5"/>
  <c r="F7" i="5"/>
  <c r="F22" i="5"/>
  <c r="D53" i="1"/>
  <c r="D12" i="3"/>
  <c r="L53" i="1"/>
  <c r="N79" i="4"/>
  <c r="J32" i="2"/>
  <c r="F116" i="4"/>
  <c r="F126" i="4" s="1"/>
  <c r="P44" i="10"/>
  <c r="X42" i="10"/>
  <c r="V44" i="10"/>
  <c r="P25" i="11"/>
  <c r="P29" i="11" s="1"/>
  <c r="L25" i="11"/>
  <c r="L29" i="11" s="1"/>
  <c r="L31" i="11" s="1"/>
  <c r="N101" i="4"/>
  <c r="H26" i="2"/>
  <c r="H30" i="2" s="1"/>
  <c r="H32" i="2" s="1"/>
  <c r="L44" i="10"/>
  <c r="M44" i="10"/>
  <c r="X16" i="11"/>
  <c r="N89" i="4"/>
  <c r="H116" i="4"/>
  <c r="H126" i="4" s="1"/>
  <c r="L116" i="4"/>
  <c r="L126" i="4" s="1"/>
  <c r="G44" i="10"/>
  <c r="H44" i="10"/>
  <c r="N27" i="4"/>
  <c r="N57" i="4"/>
  <c r="F90" i="4"/>
  <c r="L122" i="4"/>
  <c r="L127" i="4" s="1"/>
  <c r="N121" i="4"/>
  <c r="A1" i="2"/>
  <c r="N44" i="10"/>
  <c r="R44" i="10"/>
  <c r="E44" i="10"/>
  <c r="D22" i="3"/>
  <c r="N115" i="4"/>
  <c r="H122" i="4"/>
  <c r="H127" i="4" s="1"/>
  <c r="S25" i="11"/>
  <c r="S29" i="11" s="1"/>
  <c r="O25" i="11"/>
  <c r="O29" i="11" s="1"/>
  <c r="O31" i="11" s="1"/>
  <c r="K25" i="11"/>
  <c r="K29" i="11" s="1"/>
  <c r="G25" i="11"/>
  <c r="G29" i="11" s="1"/>
  <c r="G31" i="11" s="1"/>
  <c r="N63" i="4"/>
  <c r="H25" i="11"/>
  <c r="H29" i="11" s="1"/>
  <c r="N70" i="4"/>
  <c r="J53" i="1"/>
  <c r="N128" i="4"/>
  <c r="N112" i="4"/>
  <c r="N119" i="4"/>
  <c r="J122" i="4"/>
  <c r="J127" i="4" s="1"/>
  <c r="O44" i="10"/>
  <c r="J44" i="10"/>
  <c r="F44" i="10"/>
  <c r="A1" i="4"/>
  <c r="A1" i="3"/>
  <c r="A1" i="5"/>
  <c r="X19" i="10"/>
  <c r="N111" i="4"/>
  <c r="D122" i="4"/>
  <c r="N45" i="4"/>
  <c r="D64" i="4"/>
  <c r="F71" i="4"/>
  <c r="N46" i="1"/>
  <c r="F53" i="1"/>
  <c r="D9" i="3"/>
  <c r="N19" i="4"/>
  <c r="S44" i="10"/>
  <c r="I44" i="10"/>
  <c r="D34" i="4"/>
  <c r="N33" i="4"/>
  <c r="D125" i="4"/>
  <c r="N51" i="1"/>
  <c r="N95" i="4"/>
  <c r="H53" i="1"/>
  <c r="N19" i="2"/>
  <c r="N114" i="4"/>
  <c r="J116" i="4"/>
  <c r="J126" i="4" s="1"/>
  <c r="X23" i="11"/>
  <c r="F25" i="11"/>
  <c r="F29" i="11" s="1"/>
  <c r="F31" i="11" s="1"/>
  <c r="F30" i="2" l="1"/>
  <c r="F32" i="2" s="1"/>
  <c r="K7" i="3"/>
  <c r="D27" i="5"/>
  <c r="H27" i="5" s="1"/>
  <c r="J27" i="5" s="1"/>
  <c r="J19" i="5"/>
  <c r="K19" i="5" s="1"/>
  <c r="C23" i="9"/>
  <c r="X35" i="13" s="1"/>
  <c r="J10" i="3"/>
  <c r="K10" i="3" s="1"/>
  <c r="J25" i="3"/>
  <c r="K25" i="3" s="1"/>
  <c r="J13" i="3"/>
  <c r="K13" i="3" s="1"/>
  <c r="H8" i="3"/>
  <c r="J8" i="3" s="1"/>
  <c r="J14" i="5"/>
  <c r="J26" i="3"/>
  <c r="K26" i="3" s="1"/>
  <c r="J23" i="3"/>
  <c r="K23" i="3" s="1"/>
  <c r="H38" i="3"/>
  <c r="J38" i="3" s="1"/>
  <c r="J11" i="3"/>
  <c r="H29" i="3"/>
  <c r="J29" i="3"/>
  <c r="F136" i="18"/>
  <c r="N136" i="18" s="1"/>
  <c r="D41" i="3" s="1"/>
  <c r="N132" i="18"/>
  <c r="Q32" i="11"/>
  <c r="I32" i="11"/>
  <c r="F32" i="11"/>
  <c r="U32" i="11"/>
  <c r="O32" i="11"/>
  <c r="L32" i="11"/>
  <c r="G32" i="11"/>
  <c r="T32" i="11"/>
  <c r="D66" i="8"/>
  <c r="B66" i="8"/>
  <c r="D23" i="8"/>
  <c r="E23" i="8"/>
  <c r="H28" i="5"/>
  <c r="J28" i="5" s="1"/>
  <c r="H16" i="3"/>
  <c r="H30" i="3"/>
  <c r="H18" i="3"/>
  <c r="H31" i="3"/>
  <c r="H22" i="3"/>
  <c r="J22" i="3" s="1"/>
  <c r="H24" i="3"/>
  <c r="J24" i="3" s="1"/>
  <c r="H9" i="3"/>
  <c r="J9" i="3" s="1"/>
  <c r="H27" i="3"/>
  <c r="J27" i="3" s="1"/>
  <c r="N26" i="2"/>
  <c r="F129" i="4"/>
  <c r="H12" i="3"/>
  <c r="J12" i="3" s="1"/>
  <c r="X25" i="11"/>
  <c r="X29" i="11" s="1"/>
  <c r="X31" i="11" s="1"/>
  <c r="H10" i="5"/>
  <c r="H12" i="5"/>
  <c r="K12" i="5" s="1"/>
  <c r="H11" i="5"/>
  <c r="J11" i="5" s="1"/>
  <c r="H14" i="5"/>
  <c r="H15" i="5"/>
  <c r="J15" i="5" s="1"/>
  <c r="H20" i="5"/>
  <c r="X44" i="10"/>
  <c r="F42" i="3"/>
  <c r="H13" i="5"/>
  <c r="H8" i="5"/>
  <c r="H22" i="5"/>
  <c r="H9" i="5"/>
  <c r="H7" i="5"/>
  <c r="F16" i="5"/>
  <c r="H21" i="5"/>
  <c r="F23" i="5"/>
  <c r="H28" i="3"/>
  <c r="H15" i="3"/>
  <c r="J15" i="3" s="1"/>
  <c r="J129" i="4"/>
  <c r="H129" i="4"/>
  <c r="L129" i="4"/>
  <c r="H17" i="3"/>
  <c r="F32" i="3"/>
  <c r="D32" i="3"/>
  <c r="F19" i="3"/>
  <c r="N122" i="4"/>
  <c r="D127" i="4"/>
  <c r="N127" i="4" s="1"/>
  <c r="D32" i="2"/>
  <c r="N125" i="4"/>
  <c r="N116" i="4"/>
  <c r="D126" i="4"/>
  <c r="N126" i="4" s="1"/>
  <c r="D19" i="3"/>
  <c r="D16" i="5"/>
  <c r="D23" i="5"/>
  <c r="J21" i="5" l="1"/>
  <c r="L21" i="5" s="1"/>
  <c r="J9" i="5"/>
  <c r="K9" i="5"/>
  <c r="J17" i="3"/>
  <c r="K17" i="3" s="1"/>
  <c r="J16" i="3"/>
  <c r="K16" i="3" s="1"/>
  <c r="J12" i="5"/>
  <c r="L12" i="5" s="1"/>
  <c r="L29" i="3"/>
  <c r="L23" i="3"/>
  <c r="L24" i="3"/>
  <c r="L26" i="3"/>
  <c r="L27" i="3"/>
  <c r="L25" i="3"/>
  <c r="L22" i="3"/>
  <c r="L10" i="3"/>
  <c r="L11" i="3"/>
  <c r="L8" i="3"/>
  <c r="L9" i="3"/>
  <c r="L7" i="3"/>
  <c r="L14" i="3"/>
  <c r="L15" i="3"/>
  <c r="L13" i="3"/>
  <c r="L12" i="3"/>
  <c r="L19" i="5"/>
  <c r="L11" i="5"/>
  <c r="L9" i="5"/>
  <c r="L15" i="5"/>
  <c r="L14" i="5"/>
  <c r="N30" i="2"/>
  <c r="K11" i="5"/>
  <c r="K15" i="5"/>
  <c r="K22" i="3"/>
  <c r="K12" i="3"/>
  <c r="K9" i="3"/>
  <c r="K8" i="3"/>
  <c r="J7" i="5"/>
  <c r="K7" i="5" s="1"/>
  <c r="J13" i="5"/>
  <c r="K13" i="5" s="1"/>
  <c r="J20" i="5"/>
  <c r="L20" i="5" s="1"/>
  <c r="J10" i="5"/>
  <c r="K10" i="5" s="1"/>
  <c r="J31" i="3"/>
  <c r="K31" i="3" s="1"/>
  <c r="J30" i="3"/>
  <c r="L30" i="3" s="1"/>
  <c r="J18" i="3"/>
  <c r="K18" i="3" s="1"/>
  <c r="J28" i="3"/>
  <c r="L28" i="3" s="1"/>
  <c r="L16" i="5"/>
  <c r="J22" i="5"/>
  <c r="L22" i="5" s="1"/>
  <c r="J8" i="5"/>
  <c r="L8" i="5" s="1"/>
  <c r="X32" i="11"/>
  <c r="F44" i="3"/>
  <c r="F25" i="5"/>
  <c r="F29" i="5" s="1"/>
  <c r="F31" i="5" s="1"/>
  <c r="D129" i="4"/>
  <c r="N129" i="4" s="1"/>
  <c r="H41" i="3" s="1"/>
  <c r="J41" i="3" s="1"/>
  <c r="O89" i="4"/>
  <c r="O116" i="4"/>
  <c r="O95" i="4"/>
  <c r="O101" i="4"/>
  <c r="D25" i="5"/>
  <c r="O122" i="4"/>
  <c r="H40" i="3"/>
  <c r="J40" i="3" s="1"/>
  <c r="K21" i="5" l="1"/>
  <c r="L7" i="5"/>
  <c r="L16" i="3"/>
  <c r="L17" i="3"/>
  <c r="K28" i="3"/>
  <c r="L31" i="3"/>
  <c r="L18" i="3"/>
  <c r="L10" i="5"/>
  <c r="L13" i="5"/>
  <c r="K20" i="5"/>
  <c r="K22" i="5"/>
  <c r="K8" i="5"/>
  <c r="K30" i="3"/>
  <c r="D29" i="5"/>
  <c r="H25" i="5"/>
  <c r="J25" i="5" s="1"/>
  <c r="H35" i="3"/>
  <c r="D42" i="3"/>
  <c r="D44" i="3" s="1"/>
  <c r="J35" i="3" l="1"/>
  <c r="D31" i="5"/>
  <c r="F69" i="8" l="1"/>
  <c r="E67" i="8" s="1"/>
  <c r="E68" i="8" l="1"/>
  <c r="E6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tc={86689C96-5053-445A-A6EC-7D4E42AC93AF}</author>
    <author>tc={EF2CEEE9-B99E-4A89-898F-E5B37D3F4EF1}</author>
  </authors>
  <commentList>
    <comment ref="B42" authorId="0" shapeId="0" xr:uid="{86689C96-5053-445A-A6EC-7D4E42AC93AF}">
      <text>
        <t>[Threaded comment]
Your version of Excel allows you to read this threaded comment; however, any edits to it will get removed if the file is opened in a newer version of Excel. Learn more: https://go.microsoft.com/fwlink/?linkid=870924
Comment:
    This is the same account as "Lease liability" in NFCS package</t>
      </text>
    </comment>
    <comment ref="B43" authorId="1" shapeId="0" xr:uid="{EF2CEEE9-B99E-4A89-898F-E5B37D3F4EF1}">
      <text>
        <t>[Threaded comment]
Your version of Excel allows you to read this threaded comment; however, any edits to it will get removed if the file is opened in a newer version of Excel. Learn more: https://go.microsoft.com/fwlink/?linkid=870924
Comment:
    New account in FY2023 (account number 21410000 and 242000).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tc={25C66731-5A16-464D-81F0-20BF150CDD9D}</author>
    <author>tc={85F6A4FB-386D-4B26-8588-78B95FD57ED3}</author>
    <author>tc={24E540B2-5FDB-40B6-B86D-27D24A54ADCB}</author>
  </authors>
  <commentList>
    <comment ref="B12" authorId="0" shapeId="0" xr:uid="{25C66731-5A16-464D-81F0-20BF150CDD9D}">
      <text>
        <t>[Threaded comment]
Your version of Excel allows you to read this threaded comment; however, any edits to it will get removed if the file is opened in a newer version of Excel. Learn more: https://go.microsoft.com/fwlink/?linkid=870924
Comment:
    Include unrestricted endowment investments</t>
      </text>
    </comment>
    <comment ref="B15" authorId="1" shapeId="0" xr:uid="{85F6A4FB-386D-4B26-8588-78B95FD57ED3}">
      <text>
        <t>[Threaded comment]
Your version of Excel allows you to read this threaded comment; however, any edits to it will get removed if the file is opened in a newer version of Excel. Learn more: https://go.microsoft.com/fwlink/?linkid=870924
Comment:
    Include unrestricted endowment investments</t>
      </text>
    </comment>
    <comment ref="B18" authorId="2" shapeId="0" xr:uid="{24E540B2-5FDB-40B6-B86D-27D24A54ADCB}">
      <text>
        <t>[Threaded comment]
Your version of Excel allows you to read this threaded comment; however, any edits to it will get removed if the file is opened in a newer version of Excel. Learn more: https://go.microsoft.com/fwlink/?linkid=870924
Comment:
    Include unrestricted endowment investments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tc={5F9E99E9-2D6E-412A-8489-87F9D90AF0DD}</author>
    <author>tc={A4736A38-E5F2-4C1B-A48A-E556B85885B9}</author>
    <author>tc={B462DD32-B897-4236-89D9-4614E718CFD4}</author>
    <author>tc={5AB5ACE9-0D1B-473E-BD2F-46A8DC0BD76C}</author>
    <author>tc={0E719F0B-32E0-4AB4-998F-7194E8440AD3}</author>
    <author>tc={68912E55-D28B-4E2B-A36C-D881946E136B}</author>
    <author>tc={721F4BD8-9D3D-426F-B244-CD7C93609002}</author>
  </authors>
  <commentList>
    <comment ref="N18" authorId="0" shapeId="0" xr:uid="{5F9E99E9-2D6E-412A-8489-87F9D90AF0DD}">
      <text>
        <t>[Threaded comment]
Your version of Excel allows you to read this threaded comment; however, any edits to it will get removed if the file is opened in a newer version of Excel. Learn more: https://go.microsoft.com/fwlink/?linkid=870924
Comment:
    Check if an account is not chosen at the line with restatement.</t>
      </text>
    </comment>
    <comment ref="O18" authorId="1" shapeId="0" xr:uid="{A4736A38-E5F2-4C1B-A48A-E556B85885B9}">
      <text>
        <t>[Threaded comment]
Your version of Excel allows you to read this threaded comment; however, any edits to it will get removed if the file is opened in a newer version of Excel. Learn more: https://go.microsoft.com/fwlink/?linkid=870924
Comment:
    Check if an account is chosen at the line without restatement amount.</t>
      </text>
    </comment>
    <comment ref="P18" authorId="2" shapeId="0" xr:uid="{B462DD32-B897-4236-89D9-4614E718CFD4}">
      <text>
        <t>[Threaded comment]
Your version of Excel allows you to read this threaded comment; however, any edits to it will get removed if the file is opened in a newer version of Excel. Learn more: https://go.microsoft.com/fwlink/?linkid=870924
Comment:
    Check if Restatement reason is not chosen at the line with restatement.</t>
      </text>
    </comment>
    <comment ref="Q18" authorId="3" shapeId="0" xr:uid="{5AB5ACE9-0D1B-473E-BD2F-46A8DC0BD76C}">
      <text>
        <t>[Threaded comment]
Your version of Excel allows you to read this threaded comment; however, any edits to it will get removed if the file is opened in a newer version of Excel. Learn more: https://go.microsoft.com/fwlink/?linkid=870924
Comment:
    Check if Category is chosen at the line without restatement amount.</t>
      </text>
    </comment>
    <comment ref="R18" authorId="4" shapeId="0" xr:uid="{0E719F0B-32E0-4AB4-998F-7194E8440AD3}">
      <text>
        <t>[Threaded comment]
Your version of Excel allows you to read this threaded comment; however, any edits to it will get removed if the file is opened in a newer version of Excel. Learn more: https://go.microsoft.com/fwlink/?linkid=870924
Comment:
    Check Explanation column if foundation enters at the correct line.</t>
      </text>
    </comment>
    <comment ref="N19" authorId="5" shapeId="0" xr:uid="{68912E55-D28B-4E2B-A36C-D881946E136B}">
      <text>
        <t xml:space="preserve">[Threaded comment]
Your version of Excel allows you to read this threaded comment; however, any edits to it will get removed if the file is opened in a newer version of Excel. Learn more: https://go.microsoft.com/fwlink/?linkid=870924
Comment:
    Cell O19 to T22 = Keep as is for now because this doesn't negatively affect the error check at row 46 &amp; 47. May update formula later if needed be. </t>
      </text>
    </comment>
    <comment ref="L66" authorId="6" shapeId="0" xr:uid="{721F4BD8-9D3D-426F-B244-CD7C93609002}">
      <text>
        <t>[Threaded comment]
Your version of Excel allows you to read this threaded comment; however, any edits to it will get removed if the file is opened in a newer version of Excel. Learn more: https://go.microsoft.com/fwlink/?linkid=870924
Comment:
    IF(SUM(D16:D19)&lt;&gt;0,IF(SUM(D22:D36)=0,"ERROR - Enter the beginning balance of row B, C, D or E","OK"))</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tc={E02BCAFA-76A0-471E-81EE-4CDE6C963AAC}</author>
    <author>tc={40C10A20-565F-4CB0-B214-2F9E51B3F870}</author>
    <author>tc={84823835-BBDB-4132-99AD-74B2B6CB6FA0}</author>
    <author>tc={599230F6-74BE-4D3B-9ACB-2E7C5B137A34}</author>
    <author>tc={0F596D78-D25B-48B5-AF77-0E93DF1D1BD1}</author>
    <author>tc={94533857-2F5F-4CD3-A7A9-71A68A3864A4}</author>
    <author>tc={C6CFCACD-36BB-47A1-97B0-37B30C91CE56}</author>
  </authors>
  <commentList>
    <comment ref="N18" authorId="0" shapeId="0" xr:uid="{E02BCAFA-76A0-471E-81EE-4CDE6C963AAC}">
      <text>
        <t>[Threaded comment]
Your version of Excel allows you to read this threaded comment; however, any edits to it will get removed if the file is opened in a newer version of Excel. Learn more: https://go.microsoft.com/fwlink/?linkid=870924
Comment:
    Check if an account is not chosen at the line with restatement.</t>
      </text>
    </comment>
    <comment ref="O18" authorId="1" shapeId="0" xr:uid="{40C10A20-565F-4CB0-B214-2F9E51B3F870}">
      <text>
        <t>[Threaded comment]
Your version of Excel allows you to read this threaded comment; however, any edits to it will get removed if the file is opened in a newer version of Excel. Learn more: https://go.microsoft.com/fwlink/?linkid=870924
Comment:
    Check if an account is chosen at the line without restatement amount.</t>
      </text>
    </comment>
    <comment ref="P18" authorId="2" shapeId="0" xr:uid="{84823835-BBDB-4132-99AD-74B2B6CB6FA0}">
      <text>
        <t>[Threaded comment]
Your version of Excel allows you to read this threaded comment; however, any edits to it will get removed if the file is opened in a newer version of Excel. Learn more: https://go.microsoft.com/fwlink/?linkid=870924
Comment:
    Check if Restatement reason is not chosen at the line with restatement.</t>
      </text>
    </comment>
    <comment ref="Q18" authorId="3" shapeId="0" xr:uid="{599230F6-74BE-4D3B-9ACB-2E7C5B137A34}">
      <text>
        <t>[Threaded comment]
Your version of Excel allows you to read this threaded comment; however, any edits to it will get removed if the file is opened in a newer version of Excel. Learn more: https://go.microsoft.com/fwlink/?linkid=870924
Comment:
    Check if Category is chosen at the line without restatement amount.</t>
      </text>
    </comment>
    <comment ref="R18" authorId="4" shapeId="0" xr:uid="{0F596D78-D25B-48B5-AF77-0E93DF1D1BD1}">
      <text>
        <t>[Threaded comment]
Your version of Excel allows you to read this threaded comment; however, any edits to it will get removed if the file is opened in a newer version of Excel. Learn more: https://go.microsoft.com/fwlink/?linkid=870924
Comment:
    Check Explanation column if foundation enters at the correct line.</t>
      </text>
    </comment>
    <comment ref="N19" authorId="5" shapeId="0" xr:uid="{94533857-2F5F-4CD3-A7A9-71A68A3864A4}">
      <text>
        <t xml:space="preserve">[Threaded comment]
Your version of Excel allows you to read this threaded comment; however, any edits to it will get removed if the file is opened in a newer version of Excel. Learn more: https://go.microsoft.com/fwlink/?linkid=870924
Comment:
    Cell O19 to T22 = Keep as is for now because this doesn't negatively affect the error check at row 46 &amp; 47. May update formula later if needed be. </t>
      </text>
    </comment>
    <comment ref="L66" authorId="6" shapeId="0" xr:uid="{C6CFCACD-36BB-47A1-97B0-37B30C91CE56}">
      <text>
        <t>[Threaded comment]
Your version of Excel allows you to read this threaded comment; however, any edits to it will get removed if the file is opened in a newer version of Excel. Learn more: https://go.microsoft.com/fwlink/?linkid=870924
Comment:
    IF(SUM(D16:D19)&lt;&gt;0,IF(SUM(D22:D36)=0,"ERROR - Enter the beginning balance of row B, C, D or E","OK"))</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tc={D753899A-ACBF-4278-BF98-1DF4279DC80F}</author>
  </authors>
  <commentList>
    <comment ref="X42" authorId="0" shapeId="0" xr:uid="{D753899A-ACBF-4278-BF98-1DF4279DC80F}">
      <text>
        <t>[Threaded comment]
Your version of Excel allows you to read this threaded comment; however, any edits to it will get removed if the file is opened in a newer version of Excel. Learn more: https://go.microsoft.com/fwlink/?linkid=870924
Comment:
    Agree to FY2024 WTB file at 'Offline SOA' tab</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tc={948177A5-48C8-48D1-A735-41CDD4E3B5A0}</author>
  </authors>
  <commentList>
    <comment ref="AI5" authorId="0" shapeId="0" xr:uid="{948177A5-48C8-48D1-A735-41CDD4E3B5A0}">
      <text>
        <t>[Threaded comment]
Your version of Excel allows you to read this threaded comment; however, any edits to it will get removed if the file is opened in a newer version of Excel. Learn more: https://go.microsoft.com/fwlink/?linkid=870924
Comment:
    University Data POV</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tc={F6B2896E-F09C-40A5-9166-57F3020C67B2}</author>
  </authors>
  <commentList>
    <comment ref="AC4" authorId="0" shapeId="0" xr:uid="{F6B2896E-F09C-40A5-9166-57F3020C67B2}">
      <text>
        <t>[Threaded comment]
Your version of Excel allows you to read this threaded comment; however, any edits to it will get removed if the file is opened in a newer version of Excel. Learn more: https://go.microsoft.com/fwlink/?linkid=870924
Comment:
    University Data POV</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tc={479F4928-69E5-48AB-9E26-F6503BFBD62F}</author>
    <author>tc={9B4D040E-191B-4339-B076-30CA54DCF731}</author>
    <author>tc={5F9F0F08-FE3C-4D0D-9DAE-5D25665100DB}</author>
    <author>Patcha Kidking</author>
  </authors>
  <commentList>
    <comment ref="E38" authorId="0" shapeId="0" xr:uid="{479F4928-69E5-48AB-9E26-F6503BFBD62F}">
      <text>
        <t>[Threaded comment]
Your version of Excel allows you to read this threaded comment; however, any edits to it will get removed if the file is opened in a newer version of Excel. Learn more: https://go.microsoft.com/fwlink/?linkid=870924
Comment:
    None in FY2023 on foundation template but universities reported under this account.</t>
      </text>
    </comment>
    <comment ref="D42" authorId="1" shapeId="0" xr:uid="{9B4D040E-191B-4339-B076-30CA54DCF731}">
      <text>
        <t>[Threaded comment]
Your version of Excel allows you to read this threaded comment; however, any edits to it will get removed if the file is opened in a newer version of Excel. Learn more: https://go.microsoft.com/fwlink/?linkid=870924
Comment:
    This is the same account as "Lease liability" in NFCS package</t>
      </text>
    </comment>
    <comment ref="D45" authorId="2" shapeId="0" xr:uid="{5F9F0F08-FE3C-4D0D-9DAE-5D25665100DB}">
      <text>
        <t>[Threaded comment]
Your version of Excel allows you to read this threaded comment; however, any edits to it will get removed if the file is opened in a newer version of Excel. Learn more: https://go.microsoft.com/fwlink/?linkid=870924
Comment:
    New account in FY2023 (account number 21410000 and 242000).</t>
      </text>
    </comment>
    <comment ref="F78" authorId="3" shapeId="0" xr:uid="{DDAE4177-2A5E-46F7-A9AF-459663FE4846}">
      <text>
        <r>
          <rPr>
            <b/>
            <sz val="9"/>
            <color indexed="81"/>
            <rFont val="Tahoma"/>
            <family val="2"/>
          </rPr>
          <t>Patcha Kidking:</t>
        </r>
        <r>
          <rPr>
            <sz val="9"/>
            <color indexed="81"/>
            <rFont val="Tahoma"/>
            <family val="2"/>
          </rPr>
          <t xml:space="preserve">
I see this one at A67 on '431BTA-CU' tab, not on 'Notes' tab of NCFS package.</t>
        </r>
      </text>
    </comment>
  </commentList>
</comments>
</file>

<file path=xl/sharedStrings.xml><?xml version="1.0" encoding="utf-8"?>
<sst xmlns="http://schemas.openxmlformats.org/spreadsheetml/2006/main" count="1678" uniqueCount="797">
  <si>
    <t>Foundation Conversion Template</t>
  </si>
  <si>
    <t>North Carolina Universities</t>
  </si>
  <si>
    <t>For the Year Ended June 30, 2025</t>
  </si>
  <si>
    <r>
      <t xml:space="preserve">The accompanying </t>
    </r>
    <r>
      <rPr>
        <sz val="10"/>
        <color indexed="12"/>
        <rFont val="Arial"/>
        <family val="2"/>
      </rPr>
      <t>"</t>
    </r>
    <r>
      <rPr>
        <i/>
        <sz val="10"/>
        <color indexed="12"/>
        <rFont val="Arial"/>
        <family val="2"/>
      </rPr>
      <t>Foundation Conversion Template - North Carolina Universities"</t>
    </r>
  </si>
  <si>
    <t>was developed by the North Carolina Office of the State Controller (OSC). This template converts</t>
  </si>
  <si>
    <t>private foundations from the FASB 117 format (as amended by FASB Update 2016-14)</t>
  </si>
  <si>
    <t xml:space="preserve"> to the State's Annual Comprehensive Financial Report (ACFR) format (i.e., GASB 34).</t>
  </si>
  <si>
    <t>Except for North Carolina public colleges and universities, we request that users make reference to OSC</t>
  </si>
  <si>
    <t>as the developer of the accompanying template.  Also, users should provide OSC with samples of any</t>
  </si>
  <si>
    <t>materials utilizing this template or parts thereof.  If you have any questions, please contact</t>
  </si>
  <si>
    <t>Patcha Kidking at patcha.kidking@ncosc.gov or (919) 707-0525.</t>
  </si>
  <si>
    <t>Mailing Address</t>
  </si>
  <si>
    <t>State of North Carolina</t>
  </si>
  <si>
    <t>Office of the State Controller</t>
  </si>
  <si>
    <t>1410 Mail Service Center</t>
  </si>
  <si>
    <t>Raleigh, NC 27699-1410</t>
  </si>
  <si>
    <t>Foundation Conversion Template for Universities</t>
  </si>
  <si>
    <t>General Information</t>
  </si>
  <si>
    <t>Select University Number from the drop down list:</t>
  </si>
  <si>
    <t>Agency Number</t>
  </si>
  <si>
    <t>U20</t>
  </si>
  <si>
    <t>Name of the University</t>
  </si>
  <si>
    <t>Enter Preparer Information:</t>
  </si>
  <si>
    <t>Preparer's Name</t>
  </si>
  <si>
    <t>Preparer's Phone No.</t>
  </si>
  <si>
    <t>Preparer's E-mail</t>
  </si>
  <si>
    <t>Enter Foundation Name(s):</t>
  </si>
  <si>
    <t>Name of Foundation 1</t>
  </si>
  <si>
    <t>Name of Foundation</t>
  </si>
  <si>
    <t>Name of Foundation 2</t>
  </si>
  <si>
    <t>Name of Foundation 3</t>
  </si>
  <si>
    <t>Name of Foundation 4</t>
  </si>
  <si>
    <t>Name of Foundation 5</t>
  </si>
  <si>
    <t>(Note: Names must fit within the shaded areas)</t>
  </si>
  <si>
    <t>GENERAL INSTRUCTIONS:</t>
  </si>
  <si>
    <t xml:space="preserve">Throughout the workbook, please enter all amounts in "whole dollars" not cents.  </t>
  </si>
  <si>
    <t>Refer to the notes at the bottom of each tab for further information and instructions.</t>
  </si>
  <si>
    <t xml:space="preserve">Please add any suggestions or explanations of special situations on the "Comments" tab </t>
  </si>
  <si>
    <t>so that we may update the template as needed.</t>
  </si>
  <si>
    <t>Due Date:  September 11, 2025 -  Thanks!</t>
  </si>
  <si>
    <t xml:space="preserve">Please upload the template to your entity's Sharepoint Year End ACFR 2025 document </t>
  </si>
  <si>
    <t xml:space="preserve">library. </t>
  </si>
  <si>
    <t>Hide Columns G-J before publishing to the web.</t>
  </si>
  <si>
    <t>OSC Only</t>
  </si>
  <si>
    <t>Date of Change</t>
  </si>
  <si>
    <t xml:space="preserve">Worksheet </t>
  </si>
  <si>
    <t>Description of Change</t>
  </si>
  <si>
    <t>Analyst</t>
  </si>
  <si>
    <t>Web Team Notified to Update SIG</t>
  </si>
  <si>
    <t>Revision Date for SIG</t>
  </si>
  <si>
    <t>Date Agencies Notified</t>
  </si>
  <si>
    <t>Exhibit A</t>
  </si>
  <si>
    <r>
      <t>Statement of Net Assets - FASB 117 Format</t>
    </r>
    <r>
      <rPr>
        <sz val="10"/>
        <rFont val="Arial"/>
        <family val="2"/>
      </rPr>
      <t xml:space="preserve"> </t>
    </r>
    <r>
      <rPr>
        <vertAlign val="superscript"/>
        <sz val="10"/>
        <rFont val="Arial"/>
        <family val="2"/>
      </rPr>
      <t>(1)</t>
    </r>
  </si>
  <si>
    <t>State Fiscal Year June 30, 2025</t>
  </si>
  <si>
    <t>Total</t>
  </si>
  <si>
    <t>Assets</t>
  </si>
  <si>
    <t>Cash and cash equivalents</t>
  </si>
  <si>
    <t>**</t>
  </si>
  <si>
    <t>Investments</t>
  </si>
  <si>
    <t>Investment in joint venture</t>
  </si>
  <si>
    <t>Cash surrender value of life insurance</t>
  </si>
  <si>
    <t>Assets held in charitable trusts and annuities</t>
  </si>
  <si>
    <t>Security deposits</t>
  </si>
  <si>
    <t>Assets held by trustee</t>
  </si>
  <si>
    <t>Real estate held for resale</t>
  </si>
  <si>
    <t>Receivables, net</t>
  </si>
  <si>
    <t>Promises to give</t>
  </si>
  <si>
    <r>
      <t xml:space="preserve">Due from the University </t>
    </r>
    <r>
      <rPr>
        <vertAlign val="superscript"/>
        <sz val="8"/>
        <rFont val="Arial"/>
        <family val="2"/>
      </rPr>
      <t xml:space="preserve">(2)   </t>
    </r>
  </si>
  <si>
    <t>Inventories</t>
  </si>
  <si>
    <t>Prepaid expenses</t>
  </si>
  <si>
    <t>Notes/loans receivable, net</t>
  </si>
  <si>
    <r>
      <t xml:space="preserve">Interest receivable </t>
    </r>
    <r>
      <rPr>
        <sz val="8"/>
        <color rgb="FFFF0000"/>
        <rFont val="Arial"/>
        <family val="2"/>
      </rPr>
      <t>(NEW FY2025)</t>
    </r>
  </si>
  <si>
    <r>
      <t xml:space="preserve">Lease obligation receivable </t>
    </r>
    <r>
      <rPr>
        <vertAlign val="superscript"/>
        <sz val="8"/>
        <rFont val="Arial"/>
        <family val="2"/>
      </rPr>
      <t>(3)</t>
    </r>
  </si>
  <si>
    <t>Deferred charges</t>
  </si>
  <si>
    <t>In-kind gifts</t>
  </si>
  <si>
    <t>Property and equipment, net</t>
  </si>
  <si>
    <t>Total assets</t>
  </si>
  <si>
    <r>
      <t xml:space="preserve">Liabilities </t>
    </r>
    <r>
      <rPr>
        <vertAlign val="superscript"/>
        <sz val="8"/>
        <rFont val="Arial"/>
        <family val="2"/>
      </rPr>
      <t>(4)</t>
    </r>
  </si>
  <si>
    <t>Accounts payable and accrued expenses</t>
  </si>
  <si>
    <r>
      <t xml:space="preserve">Due to the University </t>
    </r>
    <r>
      <rPr>
        <vertAlign val="superscript"/>
        <sz val="8"/>
        <rFont val="Arial"/>
        <family val="2"/>
      </rPr>
      <t>(5)</t>
    </r>
  </si>
  <si>
    <r>
      <t xml:space="preserve">Grants payable to the University </t>
    </r>
    <r>
      <rPr>
        <vertAlign val="superscript"/>
        <sz val="8"/>
        <rFont val="Arial"/>
        <family val="2"/>
      </rPr>
      <t>(5)</t>
    </r>
  </si>
  <si>
    <t>Unearned revenue</t>
  </si>
  <si>
    <t>Interest payable</t>
  </si>
  <si>
    <t>Deposits payable</t>
  </si>
  <si>
    <t>Funds held for others</t>
  </si>
  <si>
    <t>Interest rate swap fair value liability</t>
  </si>
  <si>
    <t>Split interest agreement obligations</t>
  </si>
  <si>
    <t>Annuities payable</t>
  </si>
  <si>
    <r>
      <t>Capital leases</t>
    </r>
    <r>
      <rPr>
        <sz val="8"/>
        <color rgb="FFFF0000"/>
        <rFont val="Arial"/>
        <family val="2"/>
      </rPr>
      <t xml:space="preserve"> </t>
    </r>
    <r>
      <rPr>
        <sz val="8"/>
        <rFont val="Arial"/>
        <family val="2"/>
      </rPr>
      <t>payable</t>
    </r>
  </si>
  <si>
    <t>SBITA liability</t>
  </si>
  <si>
    <t>Notes payable</t>
  </si>
  <si>
    <t>Bonds payable</t>
  </si>
  <si>
    <t>Total liabilities</t>
  </si>
  <si>
    <t>Net Assets</t>
  </si>
  <si>
    <t>Net Assets Without Donor Restrictions</t>
  </si>
  <si>
    <t>Net Assets With Donor Restrictions</t>
  </si>
  <si>
    <t>Total net assets</t>
  </si>
  <si>
    <t>(Assets minus liabilities equals net assets)</t>
  </si>
  <si>
    <t>Notes:</t>
  </si>
  <si>
    <t>(1)</t>
  </si>
  <si>
    <t>If the Foundation's separately issued Statement of Net Assets includes more than one column,</t>
  </si>
  <si>
    <t>key the amounts from the "Total" column.</t>
  </si>
  <si>
    <t>(2)</t>
  </si>
  <si>
    <t>Total foundation receivables from the University should agree with the offsetting amount recorded by the</t>
  </si>
  <si>
    <t xml:space="preserve">University as "Due to University Component Units".  The only exception is for timing differences for </t>
  </si>
  <si>
    <t>foundations with different fiscal year-end dates.  When the fiscal years are the same and the total</t>
  </si>
  <si>
    <t>foundation receivables from the University do not equal the offsetting payable recognized by the</t>
  </si>
  <si>
    <t>University, the difference should be reclassified to "Receivables, net".</t>
  </si>
  <si>
    <t>(3)</t>
  </si>
  <si>
    <t>The "Lease obligation receivable" amount reported by the foundation should agree with the offsetting</t>
  </si>
  <si>
    <t>lease payable amount reported by the university on ACFR Worksheet 301 ("University Foundations" column).</t>
  </si>
  <si>
    <t>(4)</t>
  </si>
  <si>
    <t>Within a foundation, amounts due to/due from other funds of that foundation should be eliminated and</t>
  </si>
  <si>
    <t>excluded from Exhibit A.  Amounts due to other University foundations should be included with</t>
  </si>
  <si>
    <t>"Accounts payable and accrued expenses".</t>
  </si>
  <si>
    <t>(5)</t>
  </si>
  <si>
    <t>Total foundation payables to the University should agree with the offsetting amount recorded by the</t>
  </si>
  <si>
    <t xml:space="preserve">University as "Due from University Component Units".  The only exception is for timing differences for </t>
  </si>
  <si>
    <t>foundation payables to the University do not equal the offsetting receivable recognized by the</t>
  </si>
  <si>
    <t>University, the difference should be reclassified to "Accounts payable and accrued expenses".</t>
  </si>
  <si>
    <t>See Adjustments tab for further breakdown.</t>
  </si>
  <si>
    <t>Exhibit B</t>
  </si>
  <si>
    <r>
      <t>Statement of Activities - FASB 117 Format</t>
    </r>
    <r>
      <rPr>
        <sz val="10"/>
        <rFont val="Arial"/>
        <family val="2"/>
      </rPr>
      <t xml:space="preserve"> </t>
    </r>
    <r>
      <rPr>
        <vertAlign val="superscript"/>
        <sz val="10"/>
        <rFont val="Arial"/>
        <family val="2"/>
      </rPr>
      <t>(1)</t>
    </r>
  </si>
  <si>
    <t>For the State Fiscal Year Ended June 30, 2025</t>
  </si>
  <si>
    <r>
      <t xml:space="preserve">Revenues </t>
    </r>
    <r>
      <rPr>
        <vertAlign val="superscript"/>
        <sz val="10"/>
        <rFont val="Arial"/>
        <family val="2"/>
      </rPr>
      <t>(2)</t>
    </r>
  </si>
  <si>
    <t>Gifts, donations, and contributions</t>
  </si>
  <si>
    <t>Contributed services and facilities</t>
  </si>
  <si>
    <t>Change in value of split interest agreements</t>
  </si>
  <si>
    <t>Grant revenues</t>
  </si>
  <si>
    <t>Investment income</t>
  </si>
  <si>
    <t>Net realized/unrealized gains (losses) on investments</t>
  </si>
  <si>
    <t>Sales and services</t>
  </si>
  <si>
    <t>Rental and lease income</t>
  </si>
  <si>
    <t>Gain on sale of capital assets</t>
  </si>
  <si>
    <t>Miscellaneous income</t>
  </si>
  <si>
    <t>Total revenues</t>
  </si>
  <si>
    <r>
      <t xml:space="preserve">Expenses </t>
    </r>
    <r>
      <rPr>
        <b/>
        <vertAlign val="superscript"/>
        <sz val="10"/>
        <rFont val="Arial"/>
        <family val="2"/>
      </rPr>
      <t>(3)</t>
    </r>
  </si>
  <si>
    <t>Payments to University</t>
  </si>
  <si>
    <r>
      <t xml:space="preserve">Other expenses </t>
    </r>
    <r>
      <rPr>
        <sz val="8"/>
        <rFont val="Arial"/>
        <family val="2"/>
      </rPr>
      <t>(include losses on sale of capital assets)</t>
    </r>
  </si>
  <si>
    <t>Total expenses</t>
  </si>
  <si>
    <t>Change in net assets</t>
  </si>
  <si>
    <r>
      <t xml:space="preserve">Net assets - beginning of year </t>
    </r>
    <r>
      <rPr>
        <sz val="8"/>
        <rFont val="Arial"/>
        <family val="2"/>
      </rPr>
      <t>(per prior year template)</t>
    </r>
  </si>
  <si>
    <t>Restatements</t>
  </si>
  <si>
    <t>Net assets - end of year</t>
  </si>
  <si>
    <t>(Ending net assets agree with Exhibit A)</t>
  </si>
  <si>
    <t>Notes</t>
  </si>
  <si>
    <t>If the Foundation's separately issued Statement of Activities includes more than one column, key the amounts from the "Total" column.</t>
  </si>
  <si>
    <t>Also, if separate sections are presented for amounts "Without Donor Restrictions" and "With Donor Restrictions",</t>
  </si>
  <si>
    <t>the amounts from each section should be added together.</t>
  </si>
  <si>
    <t>Membership fees that are exchange transactions should be included with "Sales and services".  Conversely, membership fees that are</t>
  </si>
  <si>
    <t>nonexchange transactions should be included with "Gifts, donations, and contributions".</t>
  </si>
  <si>
    <t>Resource flows between foundations should be reported as revenues and expenses (and not as transfers) since each foundation is a</t>
  </si>
  <si>
    <t>separate legal entity.  Under GASB 34, resource flows between a primary government and its discretely presented component units</t>
  </si>
  <si>
    <t>(and between component units) should be reported as if they were external transactions - that is, as revenues and expenses.</t>
  </si>
  <si>
    <t>Exhibit C</t>
  </si>
  <si>
    <t>ACFR Adjustments</t>
  </si>
  <si>
    <t>State Fiscal Year June 30, 2024</t>
  </si>
  <si>
    <r>
      <t xml:space="preserve">Analysis - ACFR Format </t>
    </r>
    <r>
      <rPr>
        <b/>
        <u/>
        <vertAlign val="superscript"/>
        <sz val="10"/>
        <rFont val="Arial"/>
        <family val="2"/>
      </rPr>
      <t>(1)</t>
    </r>
  </si>
  <si>
    <r>
      <t xml:space="preserve">With UNC Investment Fund, LLC </t>
    </r>
    <r>
      <rPr>
        <vertAlign val="superscript"/>
        <sz val="10"/>
        <rFont val="Arial"/>
        <family val="2"/>
      </rPr>
      <t>(2)</t>
    </r>
  </si>
  <si>
    <t>Restricted/endowment investments</t>
  </si>
  <si>
    <t>Other investments</t>
  </si>
  <si>
    <r>
      <t xml:space="preserve">With University Investment Pool </t>
    </r>
    <r>
      <rPr>
        <vertAlign val="superscript"/>
        <sz val="10"/>
        <rFont val="Arial"/>
        <family val="2"/>
      </rPr>
      <t>(3)</t>
    </r>
  </si>
  <si>
    <t>All Other Investments</t>
  </si>
  <si>
    <t>(Note: Should equal amount on Exhibit A)</t>
  </si>
  <si>
    <r>
      <t xml:space="preserve">Property and equipment, net </t>
    </r>
    <r>
      <rPr>
        <vertAlign val="superscript"/>
        <sz val="10"/>
        <rFont val="Arial"/>
        <family val="2"/>
      </rPr>
      <t>(4)</t>
    </r>
  </si>
  <si>
    <t>Unrestricted property/equipment, nondepreciable</t>
  </si>
  <si>
    <t>Unrestricted property/equipment, depreciable, net</t>
  </si>
  <si>
    <t>Restricted property/equipment, nondepreciable</t>
  </si>
  <si>
    <t>Restricted property/equipment, depreciable, net</t>
  </si>
  <si>
    <t>Current portion</t>
  </si>
  <si>
    <t>Noncurrent portion</t>
  </si>
  <si>
    <t>Capital leases payable</t>
  </si>
  <si>
    <t>Noncapital gifts</t>
  </si>
  <si>
    <t>Capital gifts</t>
  </si>
  <si>
    <t>Additions to endowments</t>
  </si>
  <si>
    <t>(Note: Should equal amount on Exhibit B)</t>
  </si>
  <si>
    <t>Elimination Data - ACFR Level</t>
  </si>
  <si>
    <r>
      <t xml:space="preserve">Payments to University </t>
    </r>
    <r>
      <rPr>
        <b/>
        <sz val="8"/>
        <rFont val="Arial"/>
        <family val="2"/>
      </rPr>
      <t>(accrual)</t>
    </r>
    <r>
      <rPr>
        <b/>
        <sz val="10"/>
        <rFont val="Arial"/>
        <family val="2"/>
      </rPr>
      <t xml:space="preserve"> </t>
    </r>
    <r>
      <rPr>
        <b/>
        <vertAlign val="superscript"/>
        <sz val="10"/>
        <rFont val="Arial"/>
        <family val="2"/>
      </rPr>
      <t>(5)</t>
    </r>
  </si>
  <si>
    <t>Student tuition and fees recognized by University</t>
  </si>
  <si>
    <t>Noncapital gift revenues recognized by University</t>
  </si>
  <si>
    <t>Capital gift revenues recognized by University</t>
  </si>
  <si>
    <t>Other Information</t>
  </si>
  <si>
    <t>Foundation's fiscal year-end date (MM/DD/YY)</t>
  </si>
  <si>
    <t>-</t>
  </si>
  <si>
    <r>
      <t xml:space="preserve">Notes payable </t>
    </r>
    <r>
      <rPr>
        <b/>
        <vertAlign val="superscript"/>
        <sz val="10"/>
        <rFont val="Arial"/>
        <family val="2"/>
      </rPr>
      <t>(8)</t>
    </r>
  </si>
  <si>
    <t xml:space="preserve">Notes payable - capital </t>
  </si>
  <si>
    <t>Notes payable - noncapital</t>
  </si>
  <si>
    <r>
      <t xml:space="preserve">Bonds payable </t>
    </r>
    <r>
      <rPr>
        <b/>
        <vertAlign val="superscript"/>
        <sz val="10"/>
        <rFont val="Arial"/>
        <family val="2"/>
      </rPr>
      <t>(8)</t>
    </r>
  </si>
  <si>
    <t xml:space="preserve">Bonds payable - capital </t>
  </si>
  <si>
    <t>Bonds payable - noncapital</t>
  </si>
  <si>
    <r>
      <t xml:space="preserve">Unspent debt proceeds - notes and bonds </t>
    </r>
    <r>
      <rPr>
        <b/>
        <vertAlign val="superscript"/>
        <sz val="10"/>
        <rFont val="Arial"/>
        <family val="2"/>
      </rPr>
      <t>(6)</t>
    </r>
  </si>
  <si>
    <t>Amount of unspent proceeds - capital debt</t>
  </si>
  <si>
    <t>Amount of unspent proceeds - noncapital debt</t>
  </si>
  <si>
    <r>
      <t xml:space="preserve">Net Position </t>
    </r>
    <r>
      <rPr>
        <b/>
        <vertAlign val="superscript"/>
        <sz val="10"/>
        <rFont val="Arial"/>
        <family val="2"/>
      </rPr>
      <t>(7)</t>
    </r>
  </si>
  <si>
    <t>Permanently Restricted Net Assets</t>
  </si>
  <si>
    <t>Temporarily Restricted Net Assets</t>
  </si>
  <si>
    <r>
      <t xml:space="preserve">Automatic Calculations - GASB 63 Categories </t>
    </r>
    <r>
      <rPr>
        <b/>
        <u/>
        <vertAlign val="superscript"/>
        <sz val="10"/>
        <rFont val="Arial"/>
        <family val="2"/>
      </rPr>
      <t>(7)</t>
    </r>
  </si>
  <si>
    <t>Net investment in capital assets</t>
  </si>
  <si>
    <t>Capital assets, net</t>
  </si>
  <si>
    <t>Less: Capital leases payable</t>
  </si>
  <si>
    <t>Less: Notes payable - capital</t>
  </si>
  <si>
    <t>Less: Bonds payable - capital</t>
  </si>
  <si>
    <t>Add:  Amount of unspent proceeds - capital debt</t>
  </si>
  <si>
    <t>Restricted, expendable net position</t>
  </si>
  <si>
    <t>Temporarily restricted net assets (from above)</t>
  </si>
  <si>
    <t>Less: Restricted property/equipment, nondepreciable</t>
  </si>
  <si>
    <t>Less: Restricted property/equipment, depreciable, net</t>
  </si>
  <si>
    <t>Restricted, expendable net position per Exhibit D</t>
  </si>
  <si>
    <t>Unrestricted net position</t>
  </si>
  <si>
    <t>Total net assets per Exhibit A</t>
  </si>
  <si>
    <t>Less: Net investment in capital assets</t>
  </si>
  <si>
    <t>Less: Restricted, expendable net assets</t>
  </si>
  <si>
    <t>Less: Restricted, nonexpendable net assets</t>
  </si>
  <si>
    <t>Unrestricted net position per Exhibit D</t>
  </si>
  <si>
    <t>The "Analysis - ACFR Format" section provides additional details that are necessary to convert the</t>
  </si>
  <si>
    <t xml:space="preserve">financial statements of private foundations from the FASB 117 format, as amended by FASB Update </t>
  </si>
  <si>
    <t xml:space="preserve">2016-14, to the GASB 34 format (e.g.,breakdown of investments into restricted/other investments, </t>
  </si>
  <si>
    <t xml:space="preserve">long-term debt into current/noncurrent portions, capital assets into depreciable/nondepreciable portions, </t>
  </si>
  <si>
    <t>and gifts and donations into noncapital/capital gifts and additions to endowments).</t>
  </si>
  <si>
    <t xml:space="preserve">This breakdown is needed by OSC to reconcile the amounts reported as held by the UNC Investment </t>
  </si>
  <si>
    <t>Fund LLC to the amount reported by the foundation.</t>
  </si>
  <si>
    <t>Investments with university investment pool should only include amounts invested with the university's</t>
  </si>
  <si>
    <t>own pool (exclude amounts invested with UNC Investment Fund, LLC).  This breakdown is needed by</t>
  </si>
  <si>
    <t>OSC to reconcile total investments per the university ACFR worksheets to the financial statements.</t>
  </si>
  <si>
    <t>Property and equipment should be broken down between amounts that are included in unrestricted net</t>
  </si>
  <si>
    <t>assets and amounts that are included in temporarily restricted net assets on the foundation's balance</t>
  </si>
  <si>
    <t>sheet.  FASB 116 allows not-for-profits the option of recording gifts of capital assets as either unrestricted</t>
  </si>
  <si>
    <t>or temporarily restricted (Note: Under the temporarily restricted option, capital assets are reclassified to</t>
  </si>
  <si>
    <t>unrestricted as the asset is depreciated or over the term of the restriction, if shorter).  This breakdown is</t>
  </si>
  <si>
    <t>needed by OSC to properly calculate restricted net position per GASB 34, as amended by GASB 63.</t>
  </si>
  <si>
    <t>In the State's ACFR, universities and component unit foundations are presented in a single column.</t>
  </si>
  <si>
    <t>Therefore, to avoid overstating revenues, OSC will make an ACFR level entry to eliminate foundation</t>
  </si>
  <si>
    <t>payments to universities (per Exhibit B) and the related revenues recognized by universities. OSC</t>
  </si>
  <si>
    <t>needs this breakdown for the elimination entry.</t>
  </si>
  <si>
    <t>(6)</t>
  </si>
  <si>
    <t>Include the unspent debt proceeds (bonds/notes) related to outstanding capital and noncapital debt as of</t>
  </si>
  <si>
    <t>June 30.  As required by GASB 34, paragraph 33, the unspent portion of bonds and notes payable should</t>
  </si>
  <si>
    <t>reduce the net asset balance of the component that includes the unspent cash.  For example, if a foundation</t>
  </si>
  <si>
    <t>has unspent capital debt proceeds at year-end, the portion of the debt attributable to the unspent proceeds</t>
  </si>
  <si>
    <t>should not be included in the calculation of "net investment in capital assets".  Rather, that</t>
  </si>
  <si>
    <t>portion of the debt should be included in the same net position component as the unspent proceeds  (i.e.,</t>
  </si>
  <si>
    <t>"Unrestricted" under the FASB 117 model).</t>
  </si>
  <si>
    <t>(7)</t>
  </si>
  <si>
    <r>
      <t xml:space="preserve">On Exhibit A, Net Assets (with OR without donor restrictions) must be broken out into their expendable and nonexpendable portions for GASB-compliant presentation. Restricted Net Position in GASB statements have constraints on the use of resources that are externally enforceable. Restricted net position can include restrictions from grantors and creditors, in addition to donors. Nonexpendable net position is the portion of net assets (with OR without donor restrictions) that is required to be maintained in perpetuity. That is, it must be maintained intact indefinitely. [GASB 34, para. 35, as amended by GASB 63, para. 7-8]. Permanently Restricted Net Assets rolls directly to "Restricted nonexpendable-higher education" on Exhibit D. 
</t>
    </r>
    <r>
      <rPr>
        <b/>
        <sz val="10"/>
        <rFont val="Arial"/>
        <family val="2"/>
      </rPr>
      <t>*If you have any non-donor restricted net assets, please explain them further on the 'Comments' tab of this template. Such restrictions can be related to debt issued by the Foundation or certain restricted grants.*</t>
    </r>
  </si>
  <si>
    <t>(8)</t>
  </si>
  <si>
    <t>Notes and bonds payable are classified here as capital only if they are used to acquire capital assets for the</t>
  </si>
  <si>
    <r>
      <rPr>
        <b/>
        <sz val="10"/>
        <rFont val="Arial"/>
        <family val="2"/>
      </rPr>
      <t>foundation</t>
    </r>
    <r>
      <rPr>
        <sz val="10"/>
        <rFont val="Arial"/>
        <family val="2"/>
      </rPr>
      <t>, otherwise they are classified here as noncapital.</t>
    </r>
  </si>
  <si>
    <t>Exhibit D</t>
  </si>
  <si>
    <t>FCCS Entity</t>
  </si>
  <si>
    <t>*Enter FCCS equivalent Entity. Example - U20F</t>
  </si>
  <si>
    <t>Statement of Net Position - ACFR Format</t>
  </si>
  <si>
    <t>FCCS Agency</t>
  </si>
  <si>
    <t>*Enter FCCS equivalent Agency. Example - U200</t>
  </si>
  <si>
    <r>
      <t xml:space="preserve">With Prior Year Balances and Computed Variances </t>
    </r>
    <r>
      <rPr>
        <b/>
        <vertAlign val="superscript"/>
        <sz val="10"/>
        <rFont val="Arial"/>
        <family val="2"/>
      </rPr>
      <t>(2)</t>
    </r>
  </si>
  <si>
    <t>**NEW FY2025**</t>
  </si>
  <si>
    <t>Current Year</t>
  </si>
  <si>
    <t>Prior Year Balance</t>
  </si>
  <si>
    <t>Variance (CY-PY)</t>
  </si>
  <si>
    <t>% Change</t>
  </si>
  <si>
    <t>Review for reasonableness/correction</t>
  </si>
  <si>
    <t>ASSETS</t>
  </si>
  <si>
    <t>Due from the University</t>
  </si>
  <si>
    <t>Prepaid items</t>
  </si>
  <si>
    <t>Notes receivable, net</t>
  </si>
  <si>
    <r>
      <t xml:space="preserve">Interest receivable, net </t>
    </r>
    <r>
      <rPr>
        <sz val="10"/>
        <color rgb="FFFF0000"/>
        <rFont val="Arial"/>
        <family val="2"/>
      </rPr>
      <t>(NEW FY2025)</t>
    </r>
  </si>
  <si>
    <t>Lease obligation receivable</t>
  </si>
  <si>
    <t>LeaseObRec</t>
  </si>
  <si>
    <t>Restricted investments</t>
  </si>
  <si>
    <t>Capital assets - nondepreciable</t>
  </si>
  <si>
    <t>Capital assets - depreciable, net</t>
  </si>
  <si>
    <t>LIABILITIES</t>
  </si>
  <si>
    <t>Accounts payable and accrued liabilities</t>
  </si>
  <si>
    <r>
      <t xml:space="preserve">Due to the University </t>
    </r>
    <r>
      <rPr>
        <vertAlign val="superscript"/>
        <sz val="10"/>
        <rFont val="Arial"/>
        <family val="2"/>
      </rPr>
      <t>(1)</t>
    </r>
  </si>
  <si>
    <r>
      <t>Grants payable to the University</t>
    </r>
    <r>
      <rPr>
        <vertAlign val="superscript"/>
        <sz val="10"/>
        <rFont val="Arial"/>
        <family val="2"/>
      </rPr>
      <t xml:space="preserve"> (1)</t>
    </r>
  </si>
  <si>
    <t>2127GRNT</t>
  </si>
  <si>
    <t>Long-term liabilities:</t>
  </si>
  <si>
    <t>Due within one year</t>
  </si>
  <si>
    <t>DueOneYear</t>
  </si>
  <si>
    <t>Due in more than one year</t>
  </si>
  <si>
    <t>DueMoreOneYear</t>
  </si>
  <si>
    <t>NET POSITION</t>
  </si>
  <si>
    <t>Net Investment in capital assets</t>
  </si>
  <si>
    <t>NetinvestmentCapitalAssets</t>
  </si>
  <si>
    <t>CapProjectsReno</t>
  </si>
  <si>
    <t>Restricted for:</t>
  </si>
  <si>
    <t>Nonexpendable:</t>
  </si>
  <si>
    <t>Higher education</t>
  </si>
  <si>
    <t>NonExpendable</t>
  </si>
  <si>
    <t>Higher Ed</t>
  </si>
  <si>
    <t>Expendable:</t>
  </si>
  <si>
    <t>Expendable</t>
  </si>
  <si>
    <t>Unrestricted</t>
  </si>
  <si>
    <t>UnRestricted</t>
  </si>
  <si>
    <t>No Function</t>
  </si>
  <si>
    <t>Total net position</t>
  </si>
  <si>
    <t>(Assets minus liabilities equals net position)</t>
  </si>
  <si>
    <t>OSC will make an ACFR level entry to eliminate the "grossing-up" of assets and liabilities between</t>
  </si>
  <si>
    <t>universities and their component unit foundations.</t>
  </si>
  <si>
    <t>Please perform analytical review as needed to ensure current year amounts are reasonable compared to the prior year,</t>
  </si>
  <si>
    <t>that amounts are keyed on the correct lines, any unusual or significant variances can be explained, etc.</t>
  </si>
  <si>
    <t>OSC does not require any written explanations; the variances are shown as a tool to aid in your own analytical review</t>
  </si>
  <si>
    <t>before submitting the template. The prior year balances are from the foundation template submitted to OSC.</t>
  </si>
  <si>
    <r>
      <rPr>
        <b/>
        <sz val="10"/>
        <rFont val="Arial"/>
        <family val="2"/>
      </rPr>
      <t>Note:</t>
    </r>
    <r>
      <rPr>
        <sz val="10"/>
        <rFont val="Arial"/>
        <family val="2"/>
      </rPr>
      <t xml:space="preserve"> This template does not include deferred outflows/inflows of resources (per GASB 65). Universities typically are </t>
    </r>
  </si>
  <si>
    <t xml:space="preserve">not expected to have amounts that would need to be reclassified from assets/liabilities to deferred outflows or </t>
  </si>
  <si>
    <t>deferred inflows of resources (e.g., donations/grants transmitted in advance where the only unmet eligibility requirement</t>
  </si>
  <si>
    <t>was a time requirement). If you become aware of assets/liabilities on the template that should be reclassified due to</t>
  </si>
  <si>
    <t>GASB 65, please contact your OSC analyst. Deferred charges reported in the prior year were reclassified to prepaid</t>
  </si>
  <si>
    <t>items.</t>
  </si>
  <si>
    <t>Exhibit E</t>
  </si>
  <si>
    <t>Statement of Activities - ACFR Format</t>
  </si>
  <si>
    <t>Revenues</t>
  </si>
  <si>
    <t>Noncapital grants</t>
  </si>
  <si>
    <t>NonCapitalGrants</t>
  </si>
  <si>
    <t>Rental and lease earnings</t>
  </si>
  <si>
    <t>Miscellaneous</t>
  </si>
  <si>
    <t>Expenses</t>
  </si>
  <si>
    <r>
      <t xml:space="preserve">Payments to University </t>
    </r>
    <r>
      <rPr>
        <sz val="8"/>
        <rFont val="Arial"/>
        <family val="2"/>
      </rPr>
      <t>(accrual)</t>
    </r>
    <r>
      <rPr>
        <sz val="10"/>
        <rFont val="Arial"/>
        <family val="2"/>
      </rPr>
      <t xml:space="preserve"> - student tuition/fees </t>
    </r>
    <r>
      <rPr>
        <vertAlign val="superscript"/>
        <sz val="10"/>
        <rFont val="Arial"/>
        <family val="2"/>
      </rPr>
      <t>(1)</t>
    </r>
  </si>
  <si>
    <t>PymtStuTuition</t>
  </si>
  <si>
    <r>
      <t xml:space="preserve">Payments to University </t>
    </r>
    <r>
      <rPr>
        <sz val="8"/>
        <rFont val="Arial"/>
        <family val="2"/>
      </rPr>
      <t>(accrual)</t>
    </r>
    <r>
      <rPr>
        <sz val="10"/>
        <rFont val="Arial"/>
        <family val="2"/>
      </rPr>
      <t xml:space="preserve"> - noncapital </t>
    </r>
    <r>
      <rPr>
        <vertAlign val="superscript"/>
        <sz val="10"/>
        <rFont val="Arial"/>
        <family val="2"/>
      </rPr>
      <t>(1)</t>
    </r>
  </si>
  <si>
    <t>PymtNonCapital</t>
  </si>
  <si>
    <r>
      <t xml:space="preserve">Payments to University </t>
    </r>
    <r>
      <rPr>
        <sz val="8"/>
        <rFont val="Arial"/>
        <family val="2"/>
      </rPr>
      <t>(accrual)</t>
    </r>
    <r>
      <rPr>
        <sz val="10"/>
        <rFont val="Arial"/>
        <family val="2"/>
      </rPr>
      <t xml:space="preserve"> - capital </t>
    </r>
    <r>
      <rPr>
        <vertAlign val="superscript"/>
        <sz val="10"/>
        <rFont val="Arial"/>
        <family val="2"/>
      </rPr>
      <t>(1)</t>
    </r>
  </si>
  <si>
    <t>PymntCapital</t>
  </si>
  <si>
    <t>Other expenses</t>
  </si>
  <si>
    <t>Increase (decrease) in net position</t>
  </si>
  <si>
    <t>Net position - beginning of year</t>
  </si>
  <si>
    <t>Restatement</t>
  </si>
  <si>
    <t>Net position - end of year</t>
  </si>
  <si>
    <t>(Ending net assets agree with Exhibit D)</t>
  </si>
  <si>
    <t>OSC will make an ACFR level entry to eliminate the "grossing-up" of revenues and expenses between</t>
  </si>
  <si>
    <t xml:space="preserve">(FYI:  A university is not required to present cash flows data for a discretely presented component unit within its basic financial statements (GASB </t>
  </si>
  <si>
    <t>Statement 34, paragraph 125; Comprehensive Implementation Guide - 2003, question 2.3).  Therefore, foundation cash flows data is not needed.)</t>
  </si>
  <si>
    <t xml:space="preserve">Instructions: </t>
  </si>
  <si>
    <t>1. Enter the net position effect per GASB 63 classifications at row A - the beginning balance (column 1) and the restatement amount (column 2).</t>
  </si>
  <si>
    <t>2. Select an account(s) that is(are) affected by the restatements for 1) Balance Sheet at row B and/or C and 2) Operating Statement at row D and/or E, or Restated Beginning Balance of Net Position at row F. Enter the beginning balance (column 1) and the restatement amount (column 2).</t>
  </si>
  <si>
    <t>Click Here</t>
  </si>
  <si>
    <t>R_BegBalances</t>
  </si>
  <si>
    <t>R_Restatements</t>
  </si>
  <si>
    <t>R_EndBalance</t>
  </si>
  <si>
    <t>ErrorCorr</t>
  </si>
  <si>
    <t>Column</t>
  </si>
  <si>
    <t>Row</t>
  </si>
  <si>
    <t>Total restatement from Exh E</t>
  </si>
  <si>
    <t>Balance as of 
July 1, 2024</t>
  </si>
  <si>
    <r>
      <t xml:space="preserve">Balance as of July 1, 2024
</t>
    </r>
    <r>
      <rPr>
        <b/>
        <sz val="10"/>
        <color theme="5" tint="-0.249977111117893"/>
        <rFont val="Arial"/>
        <family val="2"/>
      </rPr>
      <t>as Restated</t>
    </r>
  </si>
  <si>
    <t>Explanation (Refer to instruction at 430 narrative - Accounting Changes and Error Corrections)</t>
  </si>
  <si>
    <t>Net Position effect per GASB 63 categories</t>
  </si>
  <si>
    <t>Beginning Bal</t>
  </si>
  <si>
    <t>Account (1)</t>
  </si>
  <si>
    <t>Account (2)</t>
  </si>
  <si>
    <t>Column 4 - Reason (1)</t>
  </si>
  <si>
    <t>Column 4 - Reason (2)</t>
  </si>
  <si>
    <t>A</t>
  </si>
  <si>
    <t>R_Net investment in capital assets</t>
  </si>
  <si>
    <t>Select Category</t>
  </si>
  <si>
    <t>Select Reason</t>
  </si>
  <si>
    <t>R_Restricted - nonexpendable</t>
  </si>
  <si>
    <t>R_Restricted - expendable</t>
  </si>
  <si>
    <t>R_Unrestricted</t>
  </si>
  <si>
    <t>ERROR CHECK</t>
  </si>
  <si>
    <t>Restatement accounts (Exh D and Exh E)</t>
  </si>
  <si>
    <t>Increase (+); Decrease (-)    Note: An increase to an asset should be entered as a positive amount on the table but will calculate to increase net position.</t>
  </si>
  <si>
    <t>B</t>
  </si>
  <si>
    <t>Select an account</t>
  </si>
  <si>
    <t>Liabilities</t>
  </si>
  <si>
    <t>Decrease (+); Increase (-)    Note: An increase to a liability should be entered as a positive amount on the table but will calculate to decrease net position.</t>
  </si>
  <si>
    <t>C</t>
  </si>
  <si>
    <t>Balance Sheet Change</t>
  </si>
  <si>
    <t>Increase (+); Decrease (-)    Note: An increase to a revenue should be entered as a positive amount on the table but will calculate to increase net position.</t>
  </si>
  <si>
    <t>D</t>
  </si>
  <si>
    <t>Decrease (+); Increase (-)    Note: An increase to an expense should be entered as a positive amount on the table but will calculate to decrease net position.</t>
  </si>
  <si>
    <t>E</t>
  </si>
  <si>
    <t>Net Position Restatement prior to FY2024</t>
  </si>
  <si>
    <t>Increase (+); Decrease (-)    Note: An increase to a net position should be entered as a positive amount on the table but will calculate to increase net position.</t>
  </si>
  <si>
    <t>F</t>
  </si>
  <si>
    <t>R_Net position (beginning restated)</t>
  </si>
  <si>
    <t>Operating Statement Change</t>
  </si>
  <si>
    <t>Total Net Position effect -Should agree to Total Restatements at Exhibit B and E</t>
  </si>
  <si>
    <t>Check Total Restatement effect VS Total Restatement from Exh B and E</t>
  </si>
  <si>
    <t>Check Total Restatement effect</t>
  </si>
  <si>
    <t>Row 45 - Calculation Net effect</t>
  </si>
  <si>
    <r>
      <t xml:space="preserve">Per each account caption, analyze </t>
    </r>
    <r>
      <rPr>
        <b/>
        <sz val="9"/>
        <color rgb="FF000000"/>
        <rFont val="Arial"/>
        <family val="2"/>
      </rPr>
      <t>SIGNIFICANT INCREASES/DECREASES</t>
    </r>
    <r>
      <rPr>
        <sz val="9"/>
        <color rgb="FF000000"/>
        <rFont val="Arial"/>
        <family val="2"/>
      </rPr>
      <t xml:space="preserve"> from the prior year at the financial statement report caption level at Exh D and Exh E.</t>
    </r>
  </si>
  <si>
    <t>Comments and Suggestions for Foundation template for Universities</t>
  </si>
  <si>
    <t>For the State Fiscal Year Ended June 30, 2025.</t>
  </si>
  <si>
    <r>
      <t xml:space="preserve">Indicating the </t>
    </r>
    <r>
      <rPr>
        <b/>
        <i/>
        <u/>
        <sz val="9"/>
        <color rgb="FF000000"/>
        <rFont val="Arial"/>
        <family val="2"/>
      </rPr>
      <t>REASON , e.g., Why did sales increase? What happened this year to cause this variance?</t>
    </r>
    <r>
      <rPr>
        <sz val="9"/>
        <color rgb="FF000000"/>
        <rFont val="Arial"/>
        <family val="2"/>
      </rPr>
      <t xml:space="preserve">  Variances in net position do not require explanation.</t>
    </r>
  </si>
  <si>
    <t>Add Net Position Classification (if applicable)</t>
  </si>
  <si>
    <t xml:space="preserve">Pay particular attention to 100% or /0 changes where there is a value in the caption in one year, but not the other year.  This could indicate a misclassification which would need to be </t>
  </si>
  <si>
    <t xml:space="preserve">corrected or a new item/change that would need to be explained. </t>
  </si>
  <si>
    <t>Statement Caption</t>
  </si>
  <si>
    <t xml:space="preserve">$ Change </t>
  </si>
  <si>
    <t>Description — Reason for Significant Change</t>
  </si>
  <si>
    <r>
      <rPr>
        <b/>
        <u/>
        <sz val="10"/>
        <color rgb="FFFF0000"/>
        <rFont val="Arial"/>
        <family val="2"/>
      </rPr>
      <t>Example:</t>
    </r>
    <r>
      <rPr>
        <sz val="10"/>
        <color rgb="FFFF0000"/>
        <rFont val="Arial"/>
        <family val="2"/>
      </rPr>
      <t xml:space="preserve"> 105 Investments</t>
    </r>
  </si>
  <si>
    <t>Increase is due to additional investment and increase in fair value of the market.</t>
  </si>
  <si>
    <r>
      <rPr>
        <b/>
        <u/>
        <sz val="10"/>
        <color rgb="FFFF0000"/>
        <rFont val="Arial"/>
        <family val="2"/>
      </rPr>
      <t>Example:</t>
    </r>
    <r>
      <rPr>
        <sz val="10"/>
        <color rgb="FFFF0000"/>
        <rFont val="Arial"/>
        <family val="2"/>
      </rPr>
      <t xml:space="preserve"> 210 Interest Payable</t>
    </r>
  </si>
  <si>
    <t>The 100% increase in interest payable is due to new loan in FY2025.</t>
  </si>
  <si>
    <t>Foundation 6/30/24</t>
  </si>
  <si>
    <t>Agency</t>
  </si>
  <si>
    <t>Ending Net Position</t>
  </si>
  <si>
    <t>Number</t>
  </si>
  <si>
    <t>University Name</t>
  </si>
  <si>
    <t>Per ACFR</t>
  </si>
  <si>
    <t>Equals "Net Assets/Net position - Beginning of Year" on Exhibit B and Exhibit E</t>
  </si>
  <si>
    <t>NCAS number</t>
  </si>
  <si>
    <t>NCFS Agency</t>
  </si>
  <si>
    <t>U10</t>
  </si>
  <si>
    <t>UNC System Office</t>
  </si>
  <si>
    <t>U100</t>
  </si>
  <si>
    <t>UNC - Chapel Hill</t>
  </si>
  <si>
    <t>U200</t>
  </si>
  <si>
    <t>U30</t>
  </si>
  <si>
    <t>North Carolina State University</t>
  </si>
  <si>
    <t>U300</t>
  </si>
  <si>
    <t>U40</t>
  </si>
  <si>
    <t>UNC - Greensboro</t>
  </si>
  <si>
    <t>U400</t>
  </si>
  <si>
    <t>U50</t>
  </si>
  <si>
    <t>UNC - Charlotte</t>
  </si>
  <si>
    <t>U500</t>
  </si>
  <si>
    <t>U55</t>
  </si>
  <si>
    <t>UNC - Asheville</t>
  </si>
  <si>
    <t>U550</t>
  </si>
  <si>
    <t>U60</t>
  </si>
  <si>
    <t>UNC - Wilmington</t>
  </si>
  <si>
    <t>U600</t>
  </si>
  <si>
    <t>U65</t>
  </si>
  <si>
    <t>East Carolina University</t>
  </si>
  <si>
    <t>U650</t>
  </si>
  <si>
    <t>U70</t>
  </si>
  <si>
    <t>North Carolina A&amp;T State University</t>
  </si>
  <si>
    <t>U700</t>
  </si>
  <si>
    <t>U75</t>
  </si>
  <si>
    <t>Western Carolina University</t>
  </si>
  <si>
    <t>U750</t>
  </si>
  <si>
    <t>U80</t>
  </si>
  <si>
    <t>Appalachian State University</t>
  </si>
  <si>
    <t>U800</t>
  </si>
  <si>
    <t>U82</t>
  </si>
  <si>
    <t>UNC - Pembroke</t>
  </si>
  <si>
    <t>U820</t>
  </si>
  <si>
    <t>U84</t>
  </si>
  <si>
    <t>Winston-Salem State University</t>
  </si>
  <si>
    <t>U840</t>
  </si>
  <si>
    <t>U86</t>
  </si>
  <si>
    <t>Elizabeth City State University</t>
  </si>
  <si>
    <t>U860</t>
  </si>
  <si>
    <t>U88</t>
  </si>
  <si>
    <t>Fayetteville State University</t>
  </si>
  <si>
    <t>U880</t>
  </si>
  <si>
    <t>U90</t>
  </si>
  <si>
    <t>North Carolina Central University</t>
  </si>
  <si>
    <t>U900</t>
  </si>
  <si>
    <t>U92</t>
  </si>
  <si>
    <t>UNC School of the Arts</t>
  </si>
  <si>
    <t>U920</t>
  </si>
  <si>
    <t>NC School of Science and Math</t>
  </si>
  <si>
    <t>8700</t>
  </si>
  <si>
    <t>Updated by PK 12/5/24</t>
  </si>
  <si>
    <t xml:space="preserve">Each year when the template is updated for the current year's ACFR, the OSC ACFR team enters  the ending net asset </t>
  </si>
  <si>
    <t xml:space="preserve">balances per the prior year ACFR workpapers in to this worksheet.  This is the source for the total </t>
  </si>
  <si>
    <t>beginning net asset balances on Exhibit B and Exhibit E for the current year Foundation template.</t>
  </si>
  <si>
    <t>Note for OSC - Go to PY Univ folder, ComboUnivF file, highlight Net assets end of year, copy, paste special - transpose and values</t>
  </si>
  <si>
    <t>U. N.C. System</t>
  </si>
  <si>
    <t>University Foundations Combining File</t>
  </si>
  <si>
    <t>U10F</t>
  </si>
  <si>
    <t>U20F</t>
  </si>
  <si>
    <t>U30F</t>
  </si>
  <si>
    <t>U40F</t>
  </si>
  <si>
    <t>U50F</t>
  </si>
  <si>
    <t>U55F</t>
  </si>
  <si>
    <t>U60F</t>
  </si>
  <si>
    <t>U65F</t>
  </si>
  <si>
    <t>U70F</t>
  </si>
  <si>
    <t>U75F</t>
  </si>
  <si>
    <t>U80F</t>
  </si>
  <si>
    <t>U82F</t>
  </si>
  <si>
    <t>U84F</t>
  </si>
  <si>
    <t>U86F</t>
  </si>
  <si>
    <t>U88F</t>
  </si>
  <si>
    <t>U90F</t>
  </si>
  <si>
    <t>U92F</t>
  </si>
  <si>
    <t>87F</t>
  </si>
  <si>
    <t>For Reference Only - Updated by OSC</t>
  </si>
  <si>
    <t>Source: OSC Filename: Foundation Combo File.xls</t>
  </si>
  <si>
    <t>*</t>
  </si>
  <si>
    <t>GRAND</t>
  </si>
  <si>
    <t>UNC-GA</t>
  </si>
  <si>
    <t>UNC-Chapel Hill</t>
  </si>
  <si>
    <t>NC State Univ</t>
  </si>
  <si>
    <t>UNC-G</t>
  </si>
  <si>
    <t>UNC-Charlotte</t>
  </si>
  <si>
    <t>UNC-Asheville</t>
  </si>
  <si>
    <t>UNC-W</t>
  </si>
  <si>
    <t>ECU</t>
  </si>
  <si>
    <t>NC A&amp;T Univ</t>
  </si>
  <si>
    <t>WCU</t>
  </si>
  <si>
    <t>ASU</t>
  </si>
  <si>
    <t>UNC-Pembroke</t>
  </si>
  <si>
    <t>WSSU</t>
  </si>
  <si>
    <t>ECSU</t>
  </si>
  <si>
    <t>FSU</t>
  </si>
  <si>
    <t>NCCU</t>
  </si>
  <si>
    <t>NCS Arts</t>
  </si>
  <si>
    <t>NCSSM</t>
  </si>
  <si>
    <t>TOTAL</t>
  </si>
  <si>
    <t xml:space="preserve">Prepaid items </t>
  </si>
  <si>
    <r>
      <t xml:space="preserve">Interest receivable </t>
    </r>
    <r>
      <rPr>
        <sz val="10"/>
        <color rgb="FFFF0000"/>
        <rFont val="Arial"/>
        <family val="2"/>
      </rPr>
      <t>(NEW FY2025)</t>
    </r>
  </si>
  <si>
    <t>Lease Obligation Receivable</t>
  </si>
  <si>
    <r>
      <t xml:space="preserve">Due to the University </t>
    </r>
    <r>
      <rPr>
        <i/>
        <vertAlign val="superscript"/>
        <sz val="10"/>
        <rFont val="Arial"/>
        <family val="2"/>
      </rPr>
      <t>(1)</t>
    </r>
  </si>
  <si>
    <r>
      <t>Grants payable to the University</t>
    </r>
    <r>
      <rPr>
        <i/>
        <vertAlign val="superscript"/>
        <sz val="9"/>
        <rFont val="Arial"/>
        <family val="2"/>
      </rPr>
      <t xml:space="preserve"> (1)</t>
    </r>
  </si>
  <si>
    <t>NET ASSETS</t>
  </si>
  <si>
    <t>Invested in capital assets, net of related debt</t>
  </si>
  <si>
    <t>Updated by PK on 12/5/2024</t>
  </si>
  <si>
    <t>See Instructions for Updating PY Balances word document</t>
  </si>
  <si>
    <t>located at K:\SASD\20CAFR\Statements\Component\Univ\Prior Year Balances</t>
  </si>
  <si>
    <t>Deferred charges reclassified to Prepaid items</t>
  </si>
  <si>
    <t xml:space="preserve">For Reference Only - Updated by OSC </t>
  </si>
  <si>
    <t>UNC-P</t>
  </si>
  <si>
    <t>NC Central Univ</t>
  </si>
  <si>
    <t>NC Sch of Arts</t>
  </si>
  <si>
    <t>Miscellaneous non op revenue</t>
  </si>
  <si>
    <r>
      <t xml:space="preserve">Payments to University - student tuition/fees </t>
    </r>
    <r>
      <rPr>
        <i/>
        <vertAlign val="superscript"/>
        <sz val="10"/>
        <rFont val="Arial"/>
        <family val="2"/>
      </rPr>
      <t>(1)</t>
    </r>
  </si>
  <si>
    <r>
      <t xml:space="preserve">Payments to University - noncapital </t>
    </r>
    <r>
      <rPr>
        <i/>
        <vertAlign val="superscript"/>
        <sz val="10"/>
        <rFont val="Arial"/>
        <family val="2"/>
      </rPr>
      <t>(1)</t>
    </r>
  </si>
  <si>
    <r>
      <t xml:space="preserve">Payments to University - capital </t>
    </r>
    <r>
      <rPr>
        <i/>
        <vertAlign val="superscript"/>
        <sz val="10"/>
        <rFont val="Arial"/>
        <family val="2"/>
      </rPr>
      <t>(1)</t>
    </r>
  </si>
  <si>
    <t>Increase (decrease) in net assets</t>
  </si>
  <si>
    <t>Net assets - beginning of year</t>
  </si>
  <si>
    <t>Ending Net Assets Agree to 'PYExhE Data' tab</t>
  </si>
  <si>
    <t>Ending Net Assets Agree to 'PriorYrExhD' tab</t>
  </si>
  <si>
    <t>Kept for reference 2/19/24</t>
  </si>
  <si>
    <t>To DB File</t>
  </si>
  <si>
    <t>Filename: Foundation Combo File.xls</t>
  </si>
  <si>
    <t>Foundation</t>
  </si>
  <si>
    <t>Foundation Plus</t>
  </si>
  <si>
    <t>UNIV Foundations</t>
  </si>
  <si>
    <t>SmartView Check</t>
  </si>
  <si>
    <t>Difference</t>
  </si>
  <si>
    <t>Reclass entry # 1</t>
  </si>
  <si>
    <t>Reclass entry # 3</t>
  </si>
  <si>
    <t>Reclass entry # 4</t>
  </si>
  <si>
    <t>Reclass entries</t>
  </si>
  <si>
    <t>Found Reclass entries</t>
  </si>
  <si>
    <t>IN THOUSANDS</t>
  </si>
  <si>
    <t>Rounding</t>
  </si>
  <si>
    <t>will be eliminated on DB file</t>
  </si>
  <si>
    <t>OK - Classification in SmartView 3. Net Position Classification in main university folder (6. Working Trial Balance).</t>
  </si>
  <si>
    <t>Reclassification</t>
  </si>
  <si>
    <t>UNC-Wilmington</t>
  </si>
  <si>
    <t>Entry # 2</t>
  </si>
  <si>
    <t>Loss on sale of capital assets</t>
  </si>
  <si>
    <t>Miscellaneous non op exp</t>
  </si>
  <si>
    <t>SRJ 2020</t>
  </si>
  <si>
    <r>
      <t xml:space="preserve">Payments to University - student tuition/fees </t>
    </r>
    <r>
      <rPr>
        <i/>
        <vertAlign val="superscript"/>
        <sz val="9"/>
        <rFont val="Arial"/>
        <family val="2"/>
      </rPr>
      <t>(1)</t>
    </r>
  </si>
  <si>
    <t>Agree to Total Net Position at 'PYExhD Data' tab</t>
  </si>
  <si>
    <t>Agree to Ending Net Position at 'Net Assets' tab</t>
  </si>
  <si>
    <t>OSC Use only</t>
  </si>
  <si>
    <t>WILL DELETE</t>
  </si>
  <si>
    <t>For list at 'Restatement' tab at column B</t>
  </si>
  <si>
    <t>Macro Read account</t>
  </si>
  <si>
    <t>R_Cash and cash equivalents</t>
  </si>
  <si>
    <t>R_Restricted investments</t>
  </si>
  <si>
    <t>R_Pooled Cash</t>
  </si>
  <si>
    <t>Capital Assets, net</t>
  </si>
  <si>
    <t>R_Investments</t>
  </si>
  <si>
    <t>R_Restricted Pooled Cash</t>
  </si>
  <si>
    <t>Select Caption</t>
  </si>
  <si>
    <t>R_Pooled Investments</t>
  </si>
  <si>
    <t>R_Art, lit &amp; oth artifacts - nondepr</t>
  </si>
  <si>
    <t>R_Securities Lending Collateral</t>
  </si>
  <si>
    <t>R_Construction in progress</t>
  </si>
  <si>
    <t>R_Accounts Receivable</t>
  </si>
  <si>
    <t>R_Computer software in development</t>
  </si>
  <si>
    <t>R_Intergovernmental receivables</t>
  </si>
  <si>
    <t>R_Other intang assets - nondepr</t>
  </si>
  <si>
    <t>R_Interest Receivable</t>
  </si>
  <si>
    <t>R_Buildings</t>
  </si>
  <si>
    <t>R_Premiums receivable</t>
  </si>
  <si>
    <t>R_Machinery &amp; equipment</t>
  </si>
  <si>
    <t>R_Accounts receivable</t>
  </si>
  <si>
    <t>R_Contributions receivable</t>
  </si>
  <si>
    <t>R_Art, lit &amp; oth artifacts - depr</t>
  </si>
  <si>
    <t>R_Other receivables</t>
  </si>
  <si>
    <t>R_General infrastrucutre</t>
  </si>
  <si>
    <t>R_Due from the University (EL)</t>
  </si>
  <si>
    <t>R_Due from other funds</t>
  </si>
  <si>
    <t>R_State highway system</t>
  </si>
  <si>
    <t>R_Inventories</t>
  </si>
  <si>
    <t>R_Notes receivables</t>
  </si>
  <si>
    <t>R_NC toll road system</t>
  </si>
  <si>
    <t>R_Prepaid items</t>
  </si>
  <si>
    <t>R_Computer software - depr</t>
  </si>
  <si>
    <t>R_Notes receivable</t>
  </si>
  <si>
    <t>R_Subscription asset</t>
  </si>
  <si>
    <t>Interest Receivable</t>
  </si>
  <si>
    <t>R_Interest receivable</t>
  </si>
  <si>
    <t xml:space="preserve">Lease obligation receivable </t>
  </si>
  <si>
    <t>R_Lease receivable</t>
  </si>
  <si>
    <t>R_Other intangible assets - depr</t>
  </si>
  <si>
    <t>R_PPP asset receivable</t>
  </si>
  <si>
    <t>R_RTU land &amp; perm easements</t>
  </si>
  <si>
    <t>R_RTU buildings</t>
  </si>
  <si>
    <t xml:space="preserve">NONDEPRECIABLE ASSETS </t>
  </si>
  <si>
    <t>R_Nondepreciable assets</t>
  </si>
  <si>
    <t>R_RTU machinery &amp; equipment</t>
  </si>
  <si>
    <t xml:space="preserve">DEPRECIABLE ASSETS </t>
  </si>
  <si>
    <t>R_Depreciable assets</t>
  </si>
  <si>
    <t>140/145</t>
  </si>
  <si>
    <t>Accumulated depreciation</t>
  </si>
  <si>
    <t>R_Accumulated depreciation</t>
  </si>
  <si>
    <t>R_Lease receivable_NC</t>
  </si>
  <si>
    <t>R_PPP asset receivable_NC</t>
  </si>
  <si>
    <t>Accounts payable (Only)</t>
  </si>
  <si>
    <t>R_Accounts payable</t>
  </si>
  <si>
    <t xml:space="preserve">Due to the University </t>
  </si>
  <si>
    <t>200 Accrued expenses - Accrued payroll</t>
  </si>
  <si>
    <t>R_Accrued payroll</t>
  </si>
  <si>
    <t>Current Liabilities</t>
  </si>
  <si>
    <t>Grants payable to the University</t>
  </si>
  <si>
    <t>200 Accrued expenses - Accrued vacation leave</t>
  </si>
  <si>
    <t>R_Accrued vacation leave</t>
  </si>
  <si>
    <t>200 Accrued expenses - Accrued interest payable</t>
  </si>
  <si>
    <t>R_Accrued interest payable</t>
  </si>
  <si>
    <t>R_Accounts Payable</t>
  </si>
  <si>
    <t>R_Due to the University (EL)</t>
  </si>
  <si>
    <t>R_Grants Payable to the University</t>
  </si>
  <si>
    <t>R_Intergovernmental payables</t>
  </si>
  <si>
    <t>R_Unearned revenue</t>
  </si>
  <si>
    <t>R_Claims Payable</t>
  </si>
  <si>
    <t>R_Unemployment benefits payable</t>
  </si>
  <si>
    <t>Split interest agreement obligations - Due in 1 year</t>
  </si>
  <si>
    <t>R_Deposits payable</t>
  </si>
  <si>
    <t>R_Notes Payable</t>
  </si>
  <si>
    <t>Split interest agreement obligations - Noncurrent</t>
  </si>
  <si>
    <t>R_Funds held for others</t>
  </si>
  <si>
    <t>R_Due to fiduciary funds</t>
  </si>
  <si>
    <t>Annuities payable - Due in 1 year</t>
  </si>
  <si>
    <t>R_Interest rate swap fair value liability</t>
  </si>
  <si>
    <t>R_Due to other funds</t>
  </si>
  <si>
    <t>Annuities payable - Noncurrent</t>
  </si>
  <si>
    <t>R_Split interest agreement obligations</t>
  </si>
  <si>
    <t>R_Obligations under securities lending</t>
  </si>
  <si>
    <r>
      <t>Capital leases</t>
    </r>
    <r>
      <rPr>
        <sz val="8"/>
        <color rgb="FFFF0000"/>
        <rFont val="Arial"/>
        <family val="2"/>
      </rPr>
      <t xml:space="preserve"> </t>
    </r>
    <r>
      <rPr>
        <sz val="8"/>
        <rFont val="Arial"/>
        <family val="2"/>
      </rPr>
      <t>payable - Due in 1 year</t>
    </r>
  </si>
  <si>
    <t>R_Split interest agreement obligations_NC</t>
  </si>
  <si>
    <t>R_Lease Payable</t>
  </si>
  <si>
    <r>
      <t>Capital leases</t>
    </r>
    <r>
      <rPr>
        <sz val="8"/>
        <color rgb="FFFF0000"/>
        <rFont val="Arial"/>
        <family val="2"/>
      </rPr>
      <t xml:space="preserve"> </t>
    </r>
    <r>
      <rPr>
        <sz val="8"/>
        <rFont val="Arial"/>
        <family val="2"/>
      </rPr>
      <t>payable - Noncurrent</t>
    </r>
  </si>
  <si>
    <t>R_Subscription (SBITA) payable</t>
  </si>
  <si>
    <t>SBITA liability - Due in 1 year</t>
  </si>
  <si>
    <t>R_Annuity &amp; life income payable_noncurrent</t>
  </si>
  <si>
    <t>R_Bond &amp; similar debt payable</t>
  </si>
  <si>
    <t>SBITA liability - Noncurrent</t>
  </si>
  <si>
    <t>Notes payable - Due in 1 year</t>
  </si>
  <si>
    <t>Notes payable - Noncurrent</t>
  </si>
  <si>
    <t>R_Subscription liability due in 1 year</t>
  </si>
  <si>
    <t>R_Annuity &amp; life income payable</t>
  </si>
  <si>
    <t>Bonds payable - Due in 1 year</t>
  </si>
  <si>
    <t>R_Subscription liability_noncurrent</t>
  </si>
  <si>
    <t>Bonds payable - Noncurrent</t>
  </si>
  <si>
    <t>R_Notes payable</t>
  </si>
  <si>
    <t>R_Notes payable_noncurrent</t>
  </si>
  <si>
    <t>Non-current liabilities</t>
  </si>
  <si>
    <t>R_Accounts Payable_NC</t>
  </si>
  <si>
    <t>R_Advances from other funds_NC</t>
  </si>
  <si>
    <t>R_Asset retirement obligation_NC</t>
  </si>
  <si>
    <t>R_Workers Compensation_NC</t>
  </si>
  <si>
    <t>R_Notes Payable_NC</t>
  </si>
  <si>
    <t>R_Noncapital contributions</t>
  </si>
  <si>
    <t>R_Lease Payable_NC</t>
  </si>
  <si>
    <t>R_Noncapital gifts</t>
  </si>
  <si>
    <t>R_Subscription (SBITA) Payable_NC</t>
  </si>
  <si>
    <t>R_Other capital grants and contributions</t>
  </si>
  <si>
    <t>R_Bond &amp; similar debt payable_NC</t>
  </si>
  <si>
    <t>R_Contributions to endowments</t>
  </si>
  <si>
    <t>R_Accrued interest payable_NC</t>
  </si>
  <si>
    <t>R_Unrestricted investment earnings</t>
  </si>
  <si>
    <t>R_Annuity &amp; life income payable_NC</t>
  </si>
  <si>
    <t>R_Charges for services</t>
  </si>
  <si>
    <t>R_Accrued vacation leave_NC</t>
  </si>
  <si>
    <t>R_Net OPEB liability_NC</t>
  </si>
  <si>
    <t>R_Gain on sale of capital assets</t>
  </si>
  <si>
    <t>R_Net Pension Liability_NC</t>
  </si>
  <si>
    <t>R_Miscellaneous</t>
  </si>
  <si>
    <t>Deferred outflows of resources</t>
  </si>
  <si>
    <t>Net Position Restatement (beginning restated)</t>
  </si>
  <si>
    <t>R_Deferred loss on refunding</t>
  </si>
  <si>
    <t>R_Deferred outflows for ARO</t>
  </si>
  <si>
    <t>R_Deferred outflows for OPEB</t>
  </si>
  <si>
    <t>R_Deferred outflows for pension</t>
  </si>
  <si>
    <t xml:space="preserve">Payments to University (accrual) - student tuition/fees </t>
  </si>
  <si>
    <t>R_Payments to University (EL)</t>
  </si>
  <si>
    <t>R_Other deferred outflows of resources</t>
  </si>
  <si>
    <t xml:space="preserve">Payments to University (accrual) - noncapital </t>
  </si>
  <si>
    <t>Payments to University (accrual) - capital</t>
  </si>
  <si>
    <t>R_Total expenses</t>
  </si>
  <si>
    <t>Deferred inflows of resources</t>
  </si>
  <si>
    <t>Reasons</t>
  </si>
  <si>
    <t>R_Deferred inflows for OPEB</t>
  </si>
  <si>
    <t>R_Deferred inflows for pensions</t>
  </si>
  <si>
    <t>ER - Error Corrections</t>
  </si>
  <si>
    <t>R_Deferred inflows for irrevocable split-interest agreements</t>
  </si>
  <si>
    <t>O - Change in Accounts Principle or Change to or in a Financial Reporting Entity</t>
  </si>
  <si>
    <t>R_Deferred inflows for leases</t>
  </si>
  <si>
    <t>R_Deferred inflows for P3 arrangements</t>
  </si>
  <si>
    <t>R_Other deferred inflows of resources</t>
  </si>
  <si>
    <t>ER_Capital asset audit adj and other error corrections</t>
  </si>
  <si>
    <t>Additions</t>
  </si>
  <si>
    <t>ER_Capital assets (prior year) entered after cut-off date</t>
  </si>
  <si>
    <t>Contributions</t>
  </si>
  <si>
    <t>ER_Capital assets - reclassification of asset type</t>
  </si>
  <si>
    <t>Payments to University (accrual) - student tuition/fees (1)</t>
  </si>
  <si>
    <t>ER_Other asset audit adj and error corrections</t>
  </si>
  <si>
    <t>R_Employer Contributions</t>
  </si>
  <si>
    <t>Payments to University (accrual) - noncapital (1)</t>
  </si>
  <si>
    <t>ER_Long-term liability audit adj and other error corrections</t>
  </si>
  <si>
    <t>R_Members Contributions</t>
  </si>
  <si>
    <t>Payments to University (accrual) - capital (1)</t>
  </si>
  <si>
    <t>ER_Other liability audit adj and error corrections</t>
  </si>
  <si>
    <t>R_Trustee deposits</t>
  </si>
  <si>
    <t xml:space="preserve">ER_Revenues understated in prior year </t>
  </si>
  <si>
    <t>R_Other contributions</t>
  </si>
  <si>
    <t>ER_Revenues overstated in prior year</t>
  </si>
  <si>
    <t>ER_Expenditures understated in prior year</t>
  </si>
  <si>
    <t>Investment income and pool share</t>
  </si>
  <si>
    <t>ER_Expenditures overstated in prior year</t>
  </si>
  <si>
    <t>O_Other change in accounting principle</t>
  </si>
  <si>
    <t>R_Investment earnings</t>
  </si>
  <si>
    <t>R_Investment expenses</t>
  </si>
  <si>
    <t>R_Reinvestment dividends</t>
  </si>
  <si>
    <t>ER_Deferred outflows audit adj and other error corrections</t>
  </si>
  <si>
    <t>Not used on Foundation Template</t>
  </si>
  <si>
    <t>R_Net share purchases (dedemptions)</t>
  </si>
  <si>
    <t>ER_Deferred inflow audit adj and other error corrections</t>
  </si>
  <si>
    <t>Other additions</t>
  </si>
  <si>
    <t>R_Propety tax collections</t>
  </si>
  <si>
    <t>R_Sales and use tax collections for local governments</t>
  </si>
  <si>
    <t>R_Participant deposits</t>
  </si>
  <si>
    <t>R_Child support deposits</t>
  </si>
  <si>
    <t>R_Sales and services</t>
  </si>
  <si>
    <t>R_Fees, licenses and fines</t>
  </si>
  <si>
    <t>R_Interest earnings on loans</t>
  </si>
  <si>
    <t>Deductions</t>
  </si>
  <si>
    <t>R_Claims and benefits</t>
  </si>
  <si>
    <t>R_Medical insurance premiums</t>
  </si>
  <si>
    <t>R_Refund of contributions</t>
  </si>
  <si>
    <t>R_Distributions paid and payable</t>
  </si>
  <si>
    <t>R_Payments in accordance with trust arrangements</t>
  </si>
  <si>
    <t>R_Payments of property tax to local governments</t>
  </si>
  <si>
    <t>R_Payments of sales and use tax to local governments</t>
  </si>
  <si>
    <t>R_Payments in accordance with custodial arrangements</t>
  </si>
  <si>
    <t>R_Payments in accordance with child support arrangements</t>
  </si>
  <si>
    <t>R_Payments of grants to local governments</t>
  </si>
  <si>
    <t>R_Payments of refunds to grantors</t>
  </si>
  <si>
    <t>R_Administrative expenses</t>
  </si>
  <si>
    <t>R_Other deductions</t>
  </si>
  <si>
    <t>20F</t>
  </si>
  <si>
    <t>30F</t>
  </si>
  <si>
    <t>50F</t>
  </si>
  <si>
    <t>55F</t>
  </si>
  <si>
    <t>65F</t>
  </si>
  <si>
    <t>70F</t>
  </si>
  <si>
    <t>84F</t>
  </si>
  <si>
    <t>90F</t>
  </si>
  <si>
    <t>92F</t>
  </si>
  <si>
    <t>R_Annuity and life income payable due in 1 year</t>
  </si>
  <si>
    <t>R_Lease liability due in 1 year</t>
  </si>
  <si>
    <t>R_Lease liability_noncurrent</t>
  </si>
  <si>
    <t>O_GASB 101 Compensated absences</t>
  </si>
  <si>
    <t>431 Reasons for Corrections</t>
  </si>
  <si>
    <t>Balance agrees to Due to the Foundation on University's package (WS 616 and WS 905)</t>
  </si>
  <si>
    <t>Balance agrees to Due from the Foundation on University's package (WS 616 and WS 905)</t>
  </si>
  <si>
    <r>
      <t>Interest receivable</t>
    </r>
    <r>
      <rPr>
        <sz val="10"/>
        <color rgb="FFFF0000"/>
        <rFont val="Arial"/>
        <family val="2"/>
      </rPr>
      <t xml:space="preserve"> (NEW FY2025)</t>
    </r>
  </si>
  <si>
    <t>Column 5 - Explanation</t>
  </si>
  <si>
    <r>
      <rPr>
        <u/>
        <sz val="10"/>
        <color rgb="FF7030A0"/>
        <rFont val="Arial"/>
        <family val="2"/>
      </rPr>
      <t>Note:</t>
    </r>
    <r>
      <rPr>
        <sz val="10"/>
        <color rgb="FF7030A0"/>
        <rFont val="Arial"/>
        <family val="2"/>
      </rPr>
      <t xml:space="preserve"> If the restatement doesn't fall under Change in Accounting Principles/Financial Reporting (O) category, you will select Error Correction (ER) which is a broad term including audit adjustment. </t>
    </r>
  </si>
  <si>
    <r>
      <rPr>
        <u/>
        <sz val="10"/>
        <color rgb="FF7030A0"/>
        <rFont val="Arial"/>
        <family val="2"/>
      </rPr>
      <t>Note:</t>
    </r>
    <r>
      <rPr>
        <sz val="10"/>
        <color rgb="FF7030A0"/>
        <rFont val="Arial"/>
        <family val="2"/>
      </rPr>
      <t xml:space="preserve"> Row F - Restated Beginning Balance of Net Position before the fiscal year 2024.</t>
    </r>
  </si>
  <si>
    <t>4. Provide explanation for disclosure at column 5 per instruction at ACFR narrative: Worksheet 430 - Accounting Changes and Error Corrections</t>
  </si>
  <si>
    <t>Significant threshold</t>
  </si>
  <si>
    <t>What type and reason of restatement?</t>
  </si>
  <si>
    <t xml:space="preserve">3. Provide the type and reason of restatement at column 4 whether it's under Error Correction (ER) or an Changes in Accounting Principles/Financial Reporting (O) category and the main reason.  </t>
  </si>
  <si>
    <r>
      <t xml:space="preserve">Compensated absences </t>
    </r>
    <r>
      <rPr>
        <sz val="8"/>
        <color rgb="FFFF0000"/>
        <rFont val="Arial"/>
        <family val="2"/>
      </rPr>
      <t>(NEW FY2025)</t>
    </r>
  </si>
  <si>
    <r>
      <t xml:space="preserve">Compensated absences </t>
    </r>
    <r>
      <rPr>
        <b/>
        <sz val="10"/>
        <color rgb="FFFF0000"/>
        <rFont val="Arial"/>
        <family val="2"/>
      </rPr>
      <t>(NEW FY2025)</t>
    </r>
  </si>
  <si>
    <r>
      <rPr>
        <b/>
        <u/>
        <sz val="10"/>
        <rFont val="Arial"/>
        <family val="2"/>
      </rPr>
      <t>Background:</t>
    </r>
    <r>
      <rPr>
        <sz val="10"/>
        <rFont val="Arial"/>
        <family val="2"/>
      </rPr>
      <t xml:space="preserve"> This tab has been created since the fiscal year 2024 due to the Implementation Guidance 2021-1 Sec 5.1 (Group Assets) and GASB 100 in FY2024 - Accounting Changes and Error Corrections, foundation is required to report the detail of restatement for additional disclosure.</t>
    </r>
  </si>
  <si>
    <r>
      <rPr>
        <b/>
        <u/>
        <sz val="10"/>
        <color theme="5" tint="-0.249977111117893"/>
        <rFont val="Arial"/>
        <family val="2"/>
      </rPr>
      <t>FY2025 update:</t>
    </r>
    <r>
      <rPr>
        <sz val="10"/>
        <color theme="5" tint="-0.249977111117893"/>
        <rFont val="Arial"/>
        <family val="2"/>
      </rPr>
      <t xml:space="preserve"> In FY2025 GASB 101 compensated absences is implemented. This template includes compensated absences restatement. See example at 'Restatement GASB 101 example' tab.</t>
    </r>
  </si>
  <si>
    <t>EXAMPLE for GASB 101 Compenstated absences</t>
  </si>
  <si>
    <t>** Compensated absences - Due in 1 year</t>
  </si>
  <si>
    <t>** Compensated absences - Noncurrent</t>
  </si>
  <si>
    <t>Decrease in net position due to GASB 101 implementation.</t>
  </si>
  <si>
    <t>Increase in liabillity due to GASB 101 implementation.</t>
  </si>
  <si>
    <t>New FY2025</t>
  </si>
  <si>
    <t>Package Updates made after April 30, 2025</t>
  </si>
  <si>
    <t>Statement of Activities - FASB 117 Format (1)</t>
  </si>
  <si>
    <t>R_Compensated absences due in 1 year</t>
  </si>
  <si>
    <t>R_Compensated absences_noncurrent</t>
  </si>
  <si>
    <t xml:space="preserve">Explanation (Refer to instruction at 430 narrative - Accounting Changes and Error Corrections on OSC website) </t>
  </si>
  <si>
    <t>Patcha Kidking</t>
  </si>
  <si>
    <t>Exh D and E</t>
  </si>
  <si>
    <t>Comment</t>
  </si>
  <si>
    <t>Please list the account shown at column K of 'Exh D' and 'Exh E' as noted with  "Explain variance at 'Comment' tab"</t>
  </si>
  <si>
    <t xml:space="preserve">Update instruction formula, clarify instruction and example </t>
  </si>
  <si>
    <t>Revised 6/25/2025</t>
  </si>
  <si>
    <t>1) Update link to narrative that was not available in April 2025
2) Format row 25 to show all information</t>
  </si>
  <si>
    <t>Update formula at column K and L, including some threshold correction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</si>
</sst>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0.00_);\(#,##0.00\);* \ \-\ \ \ \ \ "/>
    <numFmt numFmtId="166" formatCode="* #,###\ ;* \(#,###\);* \-\ \ \ \ \ \ "/>
    <numFmt numFmtId="167" formatCode="&quot;$&quot;* #,###\ ;&quot;$&quot;* \(#,###\);&quot;$&quot;* \-\ \ \ \ \ \ "/>
    <numFmt numFmtId="168" formatCode="* #,###\ ;* \(#,###\);\ \ @*."/>
    <numFmt numFmtId="169" formatCode="* #,###\ ;* \(#,###\);@*."/>
    <numFmt numFmtId="170" formatCode="mmmm\ d\,\ yyyy"/>
    <numFmt numFmtId="171" formatCode="0.00%\ ;\(0.00\)%"/>
    <numFmt numFmtId="172" formatCode="#,##0.00_);\(#,##0.00\);\—\ \ \ \ \ \ "/>
    <numFmt numFmtId="173" formatCode="_(* #,##0_);_(* \(#,##0\);_(* &quot;-&quot;??_);_(@_)"/>
    <numFmt numFmtId="174" formatCode="#,##0_);\(#,##0\);&quot;-       &quot;"/>
    <numFmt numFmtId="175" formatCode="mm/dd/yy;@"/>
    <numFmt numFmtId="176" formatCode="* #,###.00000\ ;* \(#,###.00000\);* \-\ \ \ \ \ \ "/>
    <numFmt numFmtId="177" formatCode="&quot;$&quot;#,##0"/>
  </numFmts>
  <fonts count="98" x14ac:knownFonts="1">
    <font>
      <sz val="10"/>
      <name val="Arial"/>
    </font>
    <font>
      <sz val="11"/>
      <color theme="1"/>
      <name val="Calibri"/>
      <family val="2"/>
      <scheme val="minor"/>
    </font>
    <font>
      <sz val="10"/>
      <name val="Arial"/>
      <family val="2"/>
    </font>
    <font>
      <b/>
      <sz val="10"/>
      <name val="Arial"/>
      <family val="2"/>
    </font>
    <font>
      <sz val="12"/>
      <name val="Arial"/>
      <family val="2"/>
    </font>
    <font>
      <sz val="10"/>
      <name val="Arial"/>
      <family val="2"/>
    </font>
    <font>
      <u/>
      <sz val="10"/>
      <name val="Arial"/>
      <family val="2"/>
    </font>
    <font>
      <i/>
      <sz val="10"/>
      <name val="Arial"/>
      <family val="2"/>
    </font>
    <font>
      <b/>
      <vertAlign val="superscript"/>
      <sz val="10"/>
      <name val="Arial"/>
      <family val="2"/>
    </font>
    <font>
      <sz val="8"/>
      <name val="Arial"/>
      <family val="2"/>
    </font>
    <font>
      <b/>
      <sz val="10"/>
      <color indexed="12"/>
      <name val="Arial"/>
      <family val="2"/>
    </font>
    <font>
      <vertAlign val="superscript"/>
      <sz val="10"/>
      <name val="Arial"/>
      <family val="2"/>
    </font>
    <font>
      <b/>
      <sz val="12"/>
      <name val="Arial"/>
      <family val="2"/>
    </font>
    <font>
      <i/>
      <sz val="10"/>
      <color indexed="12"/>
      <name val="Arial"/>
      <family val="2"/>
    </font>
    <font>
      <b/>
      <u/>
      <sz val="10"/>
      <name val="Arial"/>
      <family val="2"/>
    </font>
    <font>
      <b/>
      <sz val="11"/>
      <name val="Arial"/>
      <family val="2"/>
    </font>
    <font>
      <b/>
      <sz val="9"/>
      <color indexed="12"/>
      <name val="Arial"/>
      <family val="2"/>
    </font>
    <font>
      <sz val="9"/>
      <name val="Arial"/>
      <family val="2"/>
    </font>
    <font>
      <b/>
      <u/>
      <vertAlign val="superscript"/>
      <sz val="10"/>
      <name val="Arial"/>
      <family val="2"/>
    </font>
    <font>
      <b/>
      <sz val="8"/>
      <name val="Arial"/>
      <family val="2"/>
    </font>
    <font>
      <sz val="8"/>
      <name val="Arial"/>
      <family val="2"/>
    </font>
    <font>
      <i/>
      <sz val="10"/>
      <name val="Arial"/>
      <family val="2"/>
    </font>
    <font>
      <sz val="12"/>
      <name val="Book Antiqua"/>
      <family val="1"/>
    </font>
    <font>
      <b/>
      <sz val="12"/>
      <name val="Book Antiqua"/>
      <family val="1"/>
    </font>
    <font>
      <sz val="10"/>
      <name val="Book Antiqua"/>
      <family val="1"/>
    </font>
    <font>
      <sz val="10"/>
      <name val="Arial Narrow"/>
      <family val="2"/>
    </font>
    <font>
      <sz val="12"/>
      <name val="Times New Roman"/>
      <family val="1"/>
    </font>
    <font>
      <b/>
      <sz val="10"/>
      <name val="Times New Roman"/>
      <family val="1"/>
    </font>
    <font>
      <sz val="8"/>
      <name val="Times New Roman"/>
      <family val="1"/>
    </font>
    <font>
      <sz val="10"/>
      <name val="Times New Roman"/>
      <family val="1"/>
    </font>
    <font>
      <sz val="10"/>
      <color indexed="12"/>
      <name val="Arial"/>
      <family val="2"/>
    </font>
    <font>
      <b/>
      <sz val="10"/>
      <color indexed="10"/>
      <name val="Arial"/>
      <family val="2"/>
    </font>
    <font>
      <vertAlign val="superscript"/>
      <sz val="8"/>
      <name val="Arial"/>
      <family val="2"/>
    </font>
    <font>
      <i/>
      <sz val="8"/>
      <name val="Arial"/>
      <family val="2"/>
    </font>
    <font>
      <b/>
      <sz val="8"/>
      <color indexed="12"/>
      <name val="Arial"/>
      <family val="2"/>
    </font>
    <font>
      <u val="singleAccounting"/>
      <sz val="8"/>
      <name val="Arial"/>
      <family val="2"/>
    </font>
    <font>
      <sz val="8"/>
      <name val="Arial Narrow"/>
      <family val="2"/>
    </font>
    <font>
      <b/>
      <sz val="8"/>
      <name val="Arial Narrow"/>
      <family val="2"/>
    </font>
    <font>
      <b/>
      <sz val="8"/>
      <color indexed="10"/>
      <name val="Arial"/>
      <family val="2"/>
    </font>
    <font>
      <i/>
      <vertAlign val="superscript"/>
      <sz val="10"/>
      <name val="Arial"/>
      <family val="2"/>
    </font>
    <font>
      <i/>
      <sz val="8"/>
      <name val="Arial Narrow"/>
      <family val="2"/>
    </font>
    <font>
      <i/>
      <sz val="9"/>
      <name val="Arial"/>
      <family val="2"/>
    </font>
    <font>
      <i/>
      <vertAlign val="superscript"/>
      <sz val="9"/>
      <name val="Arial"/>
      <family val="2"/>
    </font>
    <font>
      <sz val="8"/>
      <name val="Arial"/>
      <family val="2"/>
    </font>
    <font>
      <sz val="8"/>
      <color rgb="FF000080"/>
      <name val="Arial Narrow"/>
      <family val="2"/>
    </font>
    <font>
      <b/>
      <sz val="10"/>
      <color rgb="FF0000FF"/>
      <name val="Arial"/>
      <family val="2"/>
    </font>
    <font>
      <sz val="8"/>
      <color rgb="FFFF0000"/>
      <name val="Arial"/>
      <family val="2"/>
    </font>
    <font>
      <sz val="10"/>
      <color rgb="FFFF0000"/>
      <name val="Arial"/>
      <family val="2"/>
    </font>
    <font>
      <b/>
      <sz val="10"/>
      <color rgb="FFFF0000"/>
      <name val="Arial"/>
      <family val="2"/>
    </font>
    <font>
      <b/>
      <u/>
      <sz val="8"/>
      <name val="Arial Narrow"/>
      <family val="2"/>
    </font>
    <font>
      <b/>
      <u val="singleAccounting"/>
      <sz val="8"/>
      <name val="Arial"/>
      <family val="2"/>
    </font>
    <font>
      <b/>
      <sz val="8"/>
      <color rgb="FFFF0000"/>
      <name val="Arial Narrow"/>
      <family val="2"/>
    </font>
    <font>
      <b/>
      <u val="singleAccounting"/>
      <sz val="8"/>
      <name val="Arial Narrow"/>
      <family val="2"/>
    </font>
    <font>
      <sz val="8"/>
      <color indexed="14"/>
      <name val="Arial Narrow"/>
      <family val="2"/>
    </font>
    <font>
      <sz val="8"/>
      <color indexed="8"/>
      <name val="Arial Narrow"/>
      <family val="2"/>
    </font>
    <font>
      <b/>
      <sz val="9"/>
      <color rgb="FFFF0000"/>
      <name val="Arial"/>
      <family val="2"/>
    </font>
    <font>
      <sz val="8"/>
      <color theme="0"/>
      <name val="Arial"/>
      <family val="2"/>
    </font>
    <font>
      <sz val="11"/>
      <name val="Calibri"/>
      <family val="2"/>
    </font>
    <font>
      <b/>
      <sz val="10"/>
      <color rgb="FF0066FF"/>
      <name val="Arial"/>
      <family val="2"/>
    </font>
    <font>
      <sz val="10"/>
      <color rgb="FF0066FF"/>
      <name val="Arial"/>
      <family val="2"/>
    </font>
    <font>
      <sz val="10"/>
      <name val="Arial"/>
      <family val="2"/>
    </font>
    <font>
      <b/>
      <sz val="14"/>
      <name val="Times New Roman"/>
      <family val="1"/>
    </font>
    <font>
      <u/>
      <sz val="10"/>
      <color indexed="12"/>
      <name val="Arial"/>
      <family val="2"/>
    </font>
    <font>
      <b/>
      <sz val="12"/>
      <color indexed="12"/>
      <name val="Arial"/>
      <family val="2"/>
    </font>
    <font>
      <sz val="11"/>
      <name val="Arial"/>
      <family val="2"/>
    </font>
    <font>
      <sz val="10"/>
      <color theme="9" tint="-0.249977111117893"/>
      <name val="Arial"/>
      <family val="2"/>
    </font>
    <font>
      <b/>
      <sz val="10"/>
      <color theme="0"/>
      <name val="Arial"/>
      <family val="2"/>
    </font>
    <font>
      <b/>
      <sz val="18"/>
      <color rgb="FFFF0000"/>
      <name val="Arial"/>
      <family val="2"/>
    </font>
    <font>
      <sz val="18"/>
      <color rgb="FFFF0000"/>
      <name val="Arial"/>
      <family val="2"/>
    </font>
    <font>
      <b/>
      <sz val="12"/>
      <name val="Times New Roman"/>
      <family val="1"/>
    </font>
    <font>
      <sz val="9.75"/>
      <name val="Helv"/>
    </font>
    <font>
      <sz val="10"/>
      <color rgb="FF0000FF"/>
      <name val="Helv"/>
    </font>
    <font>
      <b/>
      <sz val="9"/>
      <color indexed="81"/>
      <name val="Tahoma"/>
      <family val="2"/>
    </font>
    <font>
      <sz val="9"/>
      <color indexed="81"/>
      <name val="Tahoma"/>
      <family val="2"/>
    </font>
    <font>
      <u/>
      <sz val="10"/>
      <color theme="10"/>
      <name val="Arial"/>
      <family val="2"/>
    </font>
    <font>
      <sz val="10"/>
      <name val="MS Sans Serif"/>
    </font>
    <font>
      <sz val="10"/>
      <name val="MS Sans Serif"/>
      <family val="2"/>
    </font>
    <font>
      <sz val="12"/>
      <name val="MS Sans Serif"/>
      <family val="2"/>
    </font>
    <font>
      <sz val="12"/>
      <name val="Aptos"/>
      <family val="2"/>
    </font>
    <font>
      <sz val="12"/>
      <color rgb="FFFF0000"/>
      <name val="Aptos"/>
      <family val="2"/>
    </font>
    <font>
      <b/>
      <sz val="10"/>
      <color theme="5" tint="-0.249977111117893"/>
      <name val="Arial"/>
      <family val="2"/>
    </font>
    <font>
      <b/>
      <sz val="10"/>
      <color rgb="FF7030A0"/>
      <name val="Arial"/>
      <family val="2"/>
    </font>
    <font>
      <b/>
      <sz val="12"/>
      <name val="Aptos"/>
      <family val="2"/>
    </font>
    <font>
      <sz val="10"/>
      <color rgb="FF7030A0"/>
      <name val="Arial"/>
      <family val="2"/>
    </font>
    <font>
      <u/>
      <sz val="10"/>
      <color rgb="FF7030A0"/>
      <name val="Arial"/>
      <family val="2"/>
    </font>
    <font>
      <sz val="14"/>
      <color theme="5" tint="-0.249977111117893"/>
      <name val="Arial"/>
      <family val="2"/>
    </font>
    <font>
      <sz val="9"/>
      <name val="Segoe UI"/>
      <family val="2"/>
    </font>
    <font>
      <sz val="9"/>
      <color rgb="FF000000"/>
      <name val="Arial"/>
      <family val="2"/>
    </font>
    <font>
      <b/>
      <sz val="9"/>
      <color rgb="FF000000"/>
      <name val="Arial"/>
      <family val="2"/>
    </font>
    <font>
      <b/>
      <i/>
      <u/>
      <sz val="9"/>
      <color rgb="FF000000"/>
      <name val="Arial"/>
      <family val="2"/>
    </font>
    <font>
      <u/>
      <sz val="9"/>
      <color rgb="FF000000"/>
      <name val="Arial"/>
      <family val="2"/>
    </font>
    <font>
      <b/>
      <u/>
      <sz val="10"/>
      <color rgb="FFFF0000"/>
      <name val="Arial"/>
      <family val="2"/>
    </font>
    <font>
      <sz val="10"/>
      <color theme="0"/>
      <name val="Arial"/>
      <family val="2"/>
    </font>
    <font>
      <sz val="10"/>
      <color rgb="FF3366FF"/>
      <name val="Arial"/>
      <family val="2"/>
    </font>
    <font>
      <sz val="10"/>
      <color theme="5" tint="-0.249977111117893"/>
      <name val="Arial"/>
      <family val="2"/>
    </font>
    <font>
      <b/>
      <u/>
      <sz val="10"/>
      <color theme="5" tint="-0.249977111117893"/>
      <name val="Arial"/>
      <family val="2"/>
    </font>
    <font>
      <b/>
      <sz val="16"/>
      <color rgb="FFFF0000"/>
      <name val="Arial"/>
      <family val="2"/>
    </font>
    <font>
      <b/>
      <sz val="10"/>
      <color rgb="FFEE0000"/>
      <name val="Arial"/>
      <family val="2"/>
    </font>
  </fonts>
  <fills count="2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9CCFF"/>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gray125">
        <bgColor theme="0" tint="-0.14996795556505021"/>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7" tint="0.79998168889431442"/>
        <bgColor indexed="64"/>
      </patternFill>
    </fill>
  </fills>
  <borders count="26">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s>
  <cellStyleXfs count="50">
    <xf numFmtId="0" fontId="0" fillId="0" borderId="0"/>
    <xf numFmtId="43" fontId="2" fillId="0" borderId="0" applyFont="0" applyFill="0" applyBorder="0" applyAlignment="0" applyProtection="0"/>
    <xf numFmtId="0" fontId="21" fillId="0" borderId="1">
      <alignment horizontal="right"/>
      <protection locked="0"/>
    </xf>
    <xf numFmtId="0" fontId="22" fillId="0" borderId="2" applyBorder="0">
      <protection locked="0"/>
    </xf>
    <xf numFmtId="0" fontId="23" fillId="0" borderId="0">
      <protection locked="0"/>
    </xf>
    <xf numFmtId="15" fontId="24" fillId="0" borderId="1" applyNumberFormat="0" applyBorder="0">
      <protection locked="0"/>
    </xf>
    <xf numFmtId="166" fontId="43" fillId="0" borderId="0">
      <protection locked="0"/>
    </xf>
    <xf numFmtId="166" fontId="9" fillId="0" borderId="0">
      <protection locked="0"/>
    </xf>
    <xf numFmtId="166" fontId="20" fillId="0" borderId="0">
      <protection locked="0"/>
    </xf>
    <xf numFmtId="167" fontId="20" fillId="0" borderId="0">
      <protection locked="0"/>
    </xf>
    <xf numFmtId="166" fontId="20" fillId="0" borderId="0">
      <protection locked="0"/>
    </xf>
    <xf numFmtId="167" fontId="20" fillId="0" borderId="3">
      <protection locked="0"/>
    </xf>
    <xf numFmtId="166" fontId="20" fillId="0" borderId="4">
      <protection locked="0"/>
    </xf>
    <xf numFmtId="165" fontId="20" fillId="0" borderId="0"/>
    <xf numFmtId="165" fontId="9" fillId="0" borderId="0"/>
    <xf numFmtId="165" fontId="20" fillId="0" borderId="3"/>
    <xf numFmtId="165" fontId="9" fillId="0" borderId="3"/>
    <xf numFmtId="165" fontId="20" fillId="0" borderId="4"/>
    <xf numFmtId="165" fontId="9" fillId="0" borderId="4"/>
    <xf numFmtId="44" fontId="60" fillId="0" borderId="0" applyFont="0" applyFill="0" applyBorder="0" applyAlignment="0" applyProtection="0"/>
    <xf numFmtId="0" fontId="2" fillId="0" borderId="0"/>
    <xf numFmtId="0" fontId="62" fillId="0" borderId="0" applyNumberFormat="0" applyFill="0" applyBorder="0" applyAlignment="0" applyProtection="0">
      <alignment vertical="top"/>
      <protection locked="0"/>
    </xf>
    <xf numFmtId="0" fontId="70" fillId="0" borderId="0"/>
    <xf numFmtId="0" fontId="7" fillId="0" borderId="1">
      <alignment horizontal="right"/>
      <protection locked="0"/>
    </xf>
    <xf numFmtId="166" fontId="9" fillId="0" borderId="0">
      <protection locked="0"/>
    </xf>
    <xf numFmtId="0" fontId="2" fillId="0" borderId="0"/>
    <xf numFmtId="0" fontId="2" fillId="0" borderId="0"/>
    <xf numFmtId="167" fontId="9" fillId="0" borderId="0">
      <protection locked="0"/>
    </xf>
    <xf numFmtId="166" fontId="9" fillId="0" borderId="0">
      <protection locked="0"/>
    </xf>
    <xf numFmtId="167" fontId="9" fillId="0" borderId="3">
      <protection locked="0"/>
    </xf>
    <xf numFmtId="166" fontId="9" fillId="0" borderId="4">
      <protection locked="0"/>
    </xf>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74" fillId="0" borderId="0" applyNumberFormat="0" applyFill="0" applyBorder="0" applyAlignment="0" applyProtection="0"/>
    <xf numFmtId="0" fontId="2" fillId="0" borderId="0"/>
    <xf numFmtId="0" fontId="1" fillId="0" borderId="0"/>
    <xf numFmtId="0" fontId="1" fillId="0" borderId="0"/>
    <xf numFmtId="0" fontId="1" fillId="0" borderId="0"/>
    <xf numFmtId="0" fontId="75" fillId="0" borderId="0"/>
    <xf numFmtId="0" fontId="2" fillId="0" borderId="0"/>
    <xf numFmtId="0" fontId="75" fillId="0" borderId="0"/>
    <xf numFmtId="0" fontId="76" fillId="0" borderId="0"/>
    <xf numFmtId="0" fontId="76" fillId="0" borderId="0"/>
    <xf numFmtId="0" fontId="76" fillId="0" borderId="0"/>
    <xf numFmtId="0" fontId="17" fillId="0" borderId="0"/>
    <xf numFmtId="0" fontId="17" fillId="0" borderId="0"/>
    <xf numFmtId="166" fontId="9" fillId="0" borderId="0">
      <protection locked="0"/>
    </xf>
    <xf numFmtId="166" fontId="9" fillId="0" borderId="0">
      <protection locked="0"/>
    </xf>
    <xf numFmtId="166" fontId="9" fillId="0" borderId="0">
      <protection locked="0"/>
    </xf>
  </cellStyleXfs>
  <cellXfs count="593">
    <xf numFmtId="0" fontId="0" fillId="0" borderId="0" xfId="0"/>
    <xf numFmtId="0" fontId="3" fillId="0" borderId="0" xfId="0" applyFont="1"/>
    <xf numFmtId="0" fontId="0" fillId="0" borderId="0" xfId="0" applyAlignment="1">
      <alignment horizontal="left" indent="2"/>
    </xf>
    <xf numFmtId="0" fontId="0" fillId="0" borderId="0" xfId="0" applyAlignment="1">
      <alignment horizontal="left" indent="1"/>
    </xf>
    <xf numFmtId="0" fontId="0" fillId="0" borderId="1" xfId="0" applyBorder="1" applyAlignment="1">
      <alignment horizontal="center"/>
    </xf>
    <xf numFmtId="0" fontId="4" fillId="0" borderId="0" xfId="0" applyFont="1"/>
    <xf numFmtId="41" fontId="0" fillId="0" borderId="0" xfId="1" applyNumberFormat="1" applyFont="1"/>
    <xf numFmtId="41" fontId="0" fillId="0" borderId="1" xfId="1" applyNumberFormat="1" applyFont="1" applyBorder="1"/>
    <xf numFmtId="41" fontId="0" fillId="0" borderId="4" xfId="1" applyNumberFormat="1" applyFont="1" applyBorder="1"/>
    <xf numFmtId="42" fontId="0" fillId="0" borderId="0" xfId="1" applyNumberFormat="1" applyFont="1"/>
    <xf numFmtId="41" fontId="0" fillId="0" borderId="1" xfId="0" applyNumberFormat="1" applyBorder="1"/>
    <xf numFmtId="42" fontId="0" fillId="0" borderId="3" xfId="0" applyNumberFormat="1" applyBorder="1"/>
    <xf numFmtId="41" fontId="0" fillId="0" borderId="0" xfId="0" applyNumberFormat="1"/>
    <xf numFmtId="0" fontId="5" fillId="0" borderId="0" xfId="0" applyFont="1"/>
    <xf numFmtId="0" fontId="0" fillId="2" borderId="0" xfId="0" applyFill="1"/>
    <xf numFmtId="0" fontId="3" fillId="2" borderId="0" xfId="0" applyFont="1" applyFill="1" applyAlignment="1">
      <alignment horizontal="left"/>
    </xf>
    <xf numFmtId="0" fontId="0" fillId="2" borderId="0" xfId="0" applyFill="1" applyAlignment="1">
      <alignment horizontal="left" indent="1"/>
    </xf>
    <xf numFmtId="0" fontId="0" fillId="2" borderId="0" xfId="0" applyFill="1" applyAlignment="1">
      <alignment horizontal="left" indent="2"/>
    </xf>
    <xf numFmtId="41" fontId="0" fillId="2" borderId="0" xfId="0" applyNumberFormat="1" applyFill="1"/>
    <xf numFmtId="41" fontId="0" fillId="2" borderId="1" xfId="0" applyNumberFormat="1" applyFill="1" applyBorder="1"/>
    <xf numFmtId="41" fontId="0" fillId="2" borderId="4" xfId="0" applyNumberFormat="1" applyFill="1" applyBorder="1"/>
    <xf numFmtId="41" fontId="0" fillId="0" borderId="4" xfId="0" applyNumberFormat="1" applyBorder="1"/>
    <xf numFmtId="0" fontId="3" fillId="2" borderId="0" xfId="0" applyFont="1" applyFill="1"/>
    <xf numFmtId="0" fontId="7" fillId="0" borderId="0" xfId="0" applyFont="1"/>
    <xf numFmtId="0" fontId="0" fillId="0" borderId="0" xfId="0" applyAlignment="1">
      <alignment horizontal="left" indent="3"/>
    </xf>
    <xf numFmtId="0" fontId="6" fillId="0" borderId="0" xfId="0" applyFont="1"/>
    <xf numFmtId="0" fontId="0" fillId="0" borderId="0" xfId="0" applyAlignment="1">
      <alignment horizontal="left"/>
    </xf>
    <xf numFmtId="0" fontId="0" fillId="0" borderId="0" xfId="0" applyAlignment="1">
      <alignment horizontal="center"/>
    </xf>
    <xf numFmtId="42" fontId="0" fillId="0" borderId="0" xfId="0" applyNumberFormat="1"/>
    <xf numFmtId="0" fontId="6" fillId="2" borderId="0" xfId="0" applyFont="1" applyFill="1" applyAlignment="1">
      <alignment horizontal="left"/>
    </xf>
    <xf numFmtId="42" fontId="0" fillId="2" borderId="0" xfId="0" applyNumberFormat="1" applyFill="1"/>
    <xf numFmtId="0" fontId="3" fillId="0" borderId="0" xfId="0" applyFont="1" applyAlignment="1">
      <alignment horizontal="right"/>
    </xf>
    <xf numFmtId="0" fontId="9" fillId="0" borderId="0" xfId="0" applyFont="1"/>
    <xf numFmtId="0" fontId="9" fillId="0" borderId="0" xfId="0" applyFont="1" applyAlignment="1">
      <alignment horizontal="center"/>
    </xf>
    <xf numFmtId="0" fontId="9" fillId="0" borderId="0" xfId="0" quotePrefix="1" applyFont="1" applyAlignment="1">
      <alignment horizontal="center"/>
    </xf>
    <xf numFmtId="0" fontId="10" fillId="0" borderId="0" xfId="0" applyFont="1" applyAlignment="1">
      <alignment horizontal="center"/>
    </xf>
    <xf numFmtId="41" fontId="0" fillId="0" borderId="4" xfId="0" applyNumberFormat="1" applyBorder="1" applyAlignment="1">
      <alignment horizontal="center"/>
    </xf>
    <xf numFmtId="0" fontId="0" fillId="0" borderId="0" xfId="0" quotePrefix="1" applyAlignment="1">
      <alignment horizontal="center"/>
    </xf>
    <xf numFmtId="0" fontId="12" fillId="0" borderId="0" xfId="0" applyFont="1" applyAlignment="1">
      <alignment horizontal="center"/>
    </xf>
    <xf numFmtId="15" fontId="12" fillId="0" borderId="0" xfId="0" quotePrefix="1" applyNumberFormat="1" applyFont="1" applyAlignment="1">
      <alignment horizontal="center"/>
    </xf>
    <xf numFmtId="15" fontId="3" fillId="0" borderId="0" xfId="0" quotePrefix="1" applyNumberFormat="1" applyFont="1" applyAlignment="1">
      <alignment horizontal="center"/>
    </xf>
    <xf numFmtId="0" fontId="9" fillId="0" borderId="1" xfId="0" applyFont="1" applyBorder="1" applyAlignment="1">
      <alignment horizontal="center"/>
    </xf>
    <xf numFmtId="15" fontId="4" fillId="0" borderId="0" xfId="0" quotePrefix="1" applyNumberFormat="1" applyFont="1" applyAlignment="1">
      <alignment horizontal="center"/>
    </xf>
    <xf numFmtId="0" fontId="16" fillId="0" borderId="0" xfId="0" applyFont="1" applyAlignment="1">
      <alignment horizontal="center"/>
    </xf>
    <xf numFmtId="0" fontId="17" fillId="0" borderId="0" xfId="0" applyFont="1"/>
    <xf numFmtId="0" fontId="17" fillId="0" borderId="0" xfId="0" applyFont="1" applyAlignment="1">
      <alignment horizontal="center"/>
    </xf>
    <xf numFmtId="0" fontId="3" fillId="0" borderId="0" xfId="0" applyFont="1" applyAlignment="1">
      <alignment horizontal="center"/>
    </xf>
    <xf numFmtId="0" fontId="0" fillId="0" borderId="0" xfId="0" quotePrefix="1"/>
    <xf numFmtId="0" fontId="0" fillId="3" borderId="0" xfId="0" applyFill="1" applyAlignment="1" applyProtection="1">
      <alignment horizontal="left"/>
      <protection locked="0"/>
    </xf>
    <xf numFmtId="42" fontId="0" fillId="0" borderId="0" xfId="1" applyNumberFormat="1" applyFont="1" applyProtection="1">
      <protection locked="0"/>
    </xf>
    <xf numFmtId="41" fontId="0" fillId="0" borderId="0" xfId="1" applyNumberFormat="1" applyFont="1" applyProtection="1">
      <protection locked="0"/>
    </xf>
    <xf numFmtId="41" fontId="0" fillId="0" borderId="1" xfId="1" applyNumberFormat="1" applyFont="1" applyBorder="1" applyProtection="1">
      <protection locked="0"/>
    </xf>
    <xf numFmtId="41" fontId="0" fillId="0" borderId="0" xfId="0" applyNumberFormat="1" applyProtection="1">
      <protection locked="0"/>
    </xf>
    <xf numFmtId="41" fontId="0" fillId="0" borderId="1" xfId="0" applyNumberFormat="1" applyBorder="1" applyProtection="1">
      <protection locked="0"/>
    </xf>
    <xf numFmtId="164" fontId="0" fillId="0" borderId="1" xfId="0" applyNumberFormat="1" applyBorder="1" applyAlignment="1" applyProtection="1">
      <alignment horizontal="center"/>
      <protection locked="0"/>
    </xf>
    <xf numFmtId="0" fontId="0" fillId="3" borderId="0" xfId="0" quotePrefix="1" applyFill="1" applyAlignment="1" applyProtection="1">
      <alignment horizontal="left"/>
      <protection locked="0"/>
    </xf>
    <xf numFmtId="0" fontId="3" fillId="3" borderId="0" xfId="0" applyFont="1" applyFill="1" applyAlignment="1">
      <alignment horizontal="left"/>
    </xf>
    <xf numFmtId="166" fontId="20" fillId="0" borderId="0" xfId="8" applyProtection="1"/>
    <xf numFmtId="166" fontId="25" fillId="0" borderId="0" xfId="8" applyFont="1" applyProtection="1"/>
    <xf numFmtId="4" fontId="20" fillId="0" borderId="0" xfId="8" applyNumberFormat="1" applyProtection="1"/>
    <xf numFmtId="49" fontId="26" fillId="0" borderId="0" xfId="0" applyNumberFormat="1" applyFont="1"/>
    <xf numFmtId="0" fontId="26" fillId="0" borderId="0" xfId="0" applyFont="1"/>
    <xf numFmtId="166" fontId="27" fillId="0" borderId="0" xfId="8" applyFont="1" applyAlignment="1" applyProtection="1">
      <alignment horizontal="center"/>
    </xf>
    <xf numFmtId="166" fontId="27" fillId="0" borderId="1" xfId="8" applyFont="1" applyBorder="1" applyAlignment="1" applyProtection="1">
      <alignment horizontal="center"/>
    </xf>
    <xf numFmtId="4" fontId="27" fillId="0" borderId="0" xfId="8" applyNumberFormat="1" applyFont="1" applyAlignment="1" applyProtection="1">
      <alignment horizontal="center"/>
    </xf>
    <xf numFmtId="4" fontId="27" fillId="0" borderId="1" xfId="8" applyNumberFormat="1" applyFont="1" applyBorder="1" applyAlignment="1" applyProtection="1">
      <alignment horizontal="center"/>
    </xf>
    <xf numFmtId="166" fontId="28" fillId="0" borderId="0" xfId="8" applyFont="1" applyProtection="1"/>
    <xf numFmtId="166" fontId="29" fillId="0" borderId="0" xfId="8" applyFont="1" applyProtection="1"/>
    <xf numFmtId="41" fontId="30" fillId="4" borderId="0" xfId="1" applyNumberFormat="1" applyFont="1" applyFill="1"/>
    <xf numFmtId="0" fontId="33" fillId="0" borderId="0" xfId="0" applyFont="1"/>
    <xf numFmtId="0" fontId="34" fillId="0" borderId="0" xfId="0" applyFont="1" applyAlignment="1">
      <alignment horizontal="center"/>
    </xf>
    <xf numFmtId="164" fontId="0" fillId="0" borderId="0" xfId="0" applyNumberFormat="1" applyAlignment="1" applyProtection="1">
      <alignment horizontal="center"/>
      <protection locked="0"/>
    </xf>
    <xf numFmtId="0" fontId="3" fillId="0" borderId="0" xfId="0" applyFont="1" applyAlignment="1">
      <alignment horizontal="left"/>
    </xf>
    <xf numFmtId="0" fontId="0" fillId="0" borderId="0" xfId="0" applyProtection="1">
      <protection locked="0"/>
    </xf>
    <xf numFmtId="0" fontId="0" fillId="0" borderId="0" xfId="0" applyAlignment="1" applyProtection="1">
      <alignment horizontal="center"/>
      <protection locked="0"/>
    </xf>
    <xf numFmtId="0" fontId="3" fillId="6" borderId="5" xfId="0" applyFont="1" applyFill="1" applyBorder="1"/>
    <xf numFmtId="166" fontId="9" fillId="0" borderId="0" xfId="8" applyFont="1" applyProtection="1"/>
    <xf numFmtId="166" fontId="35" fillId="0" borderId="0" xfId="8" applyFont="1" applyProtection="1"/>
    <xf numFmtId="1" fontId="36" fillId="0" borderId="0" xfId="0" applyNumberFormat="1" applyFont="1" applyAlignment="1">
      <alignment horizontal="center"/>
    </xf>
    <xf numFmtId="166" fontId="36" fillId="0" borderId="0" xfId="0" applyNumberFormat="1" applyFont="1"/>
    <xf numFmtId="166" fontId="19" fillId="0" borderId="0" xfId="0" applyNumberFormat="1" applyFont="1" applyAlignment="1">
      <alignment horizontal="center"/>
    </xf>
    <xf numFmtId="166" fontId="37" fillId="0" borderId="0" xfId="0" applyNumberFormat="1" applyFont="1" applyAlignment="1">
      <alignment horizontal="center"/>
    </xf>
    <xf numFmtId="1" fontId="37" fillId="0" borderId="0" xfId="0" applyNumberFormat="1" applyFont="1" applyAlignment="1">
      <alignment horizontal="center"/>
    </xf>
    <xf numFmtId="166" fontId="19" fillId="5" borderId="0" xfId="0" applyNumberFormat="1" applyFont="1" applyFill="1" applyAlignment="1">
      <alignment horizontal="center"/>
    </xf>
    <xf numFmtId="166" fontId="3" fillId="0" borderId="0" xfId="0" applyNumberFormat="1" applyFont="1" applyAlignment="1">
      <alignment horizontal="center"/>
    </xf>
    <xf numFmtId="170" fontId="19" fillId="0" borderId="0" xfId="0" applyNumberFormat="1" applyFont="1" applyAlignment="1">
      <alignment horizontal="center"/>
    </xf>
    <xf numFmtId="165" fontId="37" fillId="0" borderId="0" xfId="13" applyFont="1" applyAlignment="1">
      <alignment horizontal="center"/>
    </xf>
    <xf numFmtId="165" fontId="38" fillId="0" borderId="0" xfId="13" applyFont="1" applyAlignment="1">
      <alignment horizontal="center"/>
    </xf>
    <xf numFmtId="166" fontId="37" fillId="0" borderId="1" xfId="0" applyNumberFormat="1" applyFont="1" applyBorder="1" applyAlignment="1">
      <alignment horizontal="center"/>
    </xf>
    <xf numFmtId="169" fontId="36" fillId="0" borderId="0" xfId="0" applyNumberFormat="1" applyFont="1"/>
    <xf numFmtId="169" fontId="36" fillId="0" borderId="0" xfId="0" applyNumberFormat="1" applyFont="1" applyAlignment="1">
      <alignment horizontal="left"/>
    </xf>
    <xf numFmtId="166" fontId="36" fillId="0" borderId="0" xfId="0" applyNumberFormat="1" applyFont="1" applyAlignment="1">
      <alignment horizontal="left"/>
    </xf>
    <xf numFmtId="168" fontId="36" fillId="0" borderId="0" xfId="0" applyNumberFormat="1" applyFont="1"/>
    <xf numFmtId="165" fontId="36" fillId="0" borderId="0" xfId="13" applyFont="1"/>
    <xf numFmtId="168" fontId="40" fillId="5" borderId="0" xfId="0" applyNumberFormat="1" applyFont="1" applyFill="1" applyAlignment="1">
      <alignment horizontal="left"/>
    </xf>
    <xf numFmtId="168" fontId="36" fillId="0" borderId="0" xfId="0" applyNumberFormat="1" applyFont="1" applyAlignment="1">
      <alignment horizontal="left"/>
    </xf>
    <xf numFmtId="165" fontId="36" fillId="0" borderId="1" xfId="13" applyFont="1" applyBorder="1"/>
    <xf numFmtId="165" fontId="36" fillId="0" borderId="0" xfId="0" applyNumberFormat="1" applyFont="1"/>
    <xf numFmtId="165" fontId="37" fillId="0" borderId="0" xfId="0" applyNumberFormat="1" applyFont="1" applyAlignment="1">
      <alignment horizontal="center"/>
    </xf>
    <xf numFmtId="165" fontId="37" fillId="0" borderId="1" xfId="0" applyNumberFormat="1" applyFont="1" applyBorder="1" applyAlignment="1">
      <alignment horizontal="center"/>
    </xf>
    <xf numFmtId="165" fontId="36" fillId="0" borderId="1" xfId="0" applyNumberFormat="1" applyFont="1" applyBorder="1"/>
    <xf numFmtId="165" fontId="40" fillId="5" borderId="0" xfId="0" applyNumberFormat="1" applyFont="1" applyFill="1"/>
    <xf numFmtId="0" fontId="3" fillId="0" borderId="0" xfId="0" quotePrefix="1" applyFont="1"/>
    <xf numFmtId="171" fontId="44" fillId="0" borderId="0" xfId="0" applyNumberFormat="1" applyFont="1"/>
    <xf numFmtId="172" fontId="44" fillId="0" borderId="0" xfId="0" applyNumberFormat="1" applyFont="1"/>
    <xf numFmtId="166" fontId="3" fillId="0" borderId="0" xfId="0" applyNumberFormat="1" applyFont="1"/>
    <xf numFmtId="166" fontId="9" fillId="0" borderId="0" xfId="0" applyNumberFormat="1" applyFont="1" applyAlignment="1">
      <alignment horizontal="center"/>
    </xf>
    <xf numFmtId="1" fontId="0" fillId="0" borderId="0" xfId="0" applyNumberFormat="1"/>
    <xf numFmtId="166" fontId="0" fillId="0" borderId="0" xfId="0" applyNumberFormat="1"/>
    <xf numFmtId="166" fontId="7" fillId="5" borderId="0" xfId="0" applyNumberFormat="1" applyFont="1" applyFill="1" applyAlignment="1">
      <alignment horizontal="center"/>
    </xf>
    <xf numFmtId="166" fontId="7" fillId="5" borderId="0" xfId="0" applyNumberFormat="1" applyFont="1" applyFill="1"/>
    <xf numFmtId="166" fontId="33" fillId="5" borderId="0" xfId="0" applyNumberFormat="1" applyFont="1" applyFill="1"/>
    <xf numFmtId="165" fontId="36" fillId="0" borderId="0" xfId="13" applyFont="1" applyAlignment="1">
      <alignment horizontal="center"/>
    </xf>
    <xf numFmtId="0" fontId="45" fillId="0" borderId="0" xfId="0" applyFont="1"/>
    <xf numFmtId="0" fontId="36" fillId="0" borderId="0" xfId="0" applyFont="1"/>
    <xf numFmtId="0" fontId="19" fillId="0" borderId="0" xfId="0" applyFont="1" applyAlignment="1">
      <alignment horizontal="center"/>
    </xf>
    <xf numFmtId="0" fontId="37" fillId="0" borderId="0" xfId="0" applyFont="1" applyAlignment="1">
      <alignment horizontal="center"/>
    </xf>
    <xf numFmtId="0" fontId="19" fillId="5" borderId="0" xfId="0" applyFont="1" applyFill="1" applyAlignment="1">
      <alignment horizontal="center"/>
    </xf>
    <xf numFmtId="0" fontId="37" fillId="0" borderId="1" xfId="0" applyFont="1" applyBorder="1" applyAlignment="1">
      <alignment horizontal="center"/>
    </xf>
    <xf numFmtId="0" fontId="36" fillId="0" borderId="4" xfId="0" applyFont="1" applyBorder="1" applyAlignment="1">
      <alignment horizontal="center"/>
    </xf>
    <xf numFmtId="0" fontId="9" fillId="0" borderId="0" xfId="0" applyFont="1" applyAlignment="1" applyProtection="1">
      <alignment horizontal="center"/>
      <protection locked="0"/>
    </xf>
    <xf numFmtId="165" fontId="40" fillId="5" borderId="0" xfId="13" applyFont="1" applyFill="1"/>
    <xf numFmtId="165" fontId="36" fillId="0" borderId="0" xfId="15" applyFont="1" applyBorder="1"/>
    <xf numFmtId="165" fontId="36" fillId="0" borderId="1" xfId="15" applyFont="1" applyBorder="1"/>
    <xf numFmtId="165" fontId="36" fillId="0" borderId="3" xfId="13" applyFont="1" applyBorder="1"/>
    <xf numFmtId="0" fontId="37" fillId="0" borderId="0" xfId="0" applyFont="1"/>
    <xf numFmtId="165" fontId="37" fillId="0" borderId="0" xfId="15" applyFont="1" applyBorder="1" applyAlignment="1">
      <alignment horizontal="center"/>
    </xf>
    <xf numFmtId="4" fontId="36" fillId="0" borderId="0" xfId="0" applyNumberFormat="1" applyFont="1"/>
    <xf numFmtId="166" fontId="36" fillId="0" borderId="4" xfId="0" applyNumberFormat="1" applyFont="1" applyBorder="1" applyAlignment="1">
      <alignment horizontal="right"/>
    </xf>
    <xf numFmtId="166" fontId="36" fillId="0" borderId="0" xfId="13" applyNumberFormat="1" applyFont="1" applyAlignment="1">
      <alignment horizontal="right"/>
    </xf>
    <xf numFmtId="166" fontId="36" fillId="0" borderId="1" xfId="13" applyNumberFormat="1" applyFont="1" applyBorder="1" applyAlignment="1">
      <alignment horizontal="right"/>
    </xf>
    <xf numFmtId="166" fontId="36" fillId="0" borderId="3" xfId="13" applyNumberFormat="1" applyFont="1" applyBorder="1" applyAlignment="1">
      <alignment horizontal="right"/>
    </xf>
    <xf numFmtId="170" fontId="37" fillId="7" borderId="0" xfId="0" applyNumberFormat="1" applyFont="1" applyFill="1" applyAlignment="1">
      <alignment horizontal="center"/>
    </xf>
    <xf numFmtId="0" fontId="33" fillId="5" borderId="0" xfId="0" applyFont="1" applyFill="1" applyAlignment="1">
      <alignment horizontal="center"/>
    </xf>
    <xf numFmtId="0" fontId="7" fillId="5" borderId="0" xfId="0" applyFont="1" applyFill="1" applyAlignment="1">
      <alignment horizontal="left" indent="1"/>
    </xf>
    <xf numFmtId="0" fontId="41" fillId="5" borderId="0" xfId="0" applyFont="1" applyFill="1" applyAlignment="1">
      <alignment horizontal="left" indent="1"/>
    </xf>
    <xf numFmtId="0" fontId="19" fillId="0" borderId="0" xfId="0" applyFont="1"/>
    <xf numFmtId="0" fontId="9" fillId="0" borderId="0" xfId="0" applyFont="1" applyAlignment="1" applyProtection="1">
      <alignment horizontal="left"/>
      <protection locked="0"/>
    </xf>
    <xf numFmtId="0" fontId="41" fillId="0" borderId="0" xfId="0" applyFont="1"/>
    <xf numFmtId="166" fontId="36" fillId="0" borderId="0" xfId="7" applyFont="1" applyProtection="1"/>
    <xf numFmtId="166" fontId="36" fillId="0" borderId="1" xfId="7" applyFont="1" applyBorder="1" applyProtection="1"/>
    <xf numFmtId="0" fontId="47" fillId="0" borderId="0" xfId="0" applyFont="1"/>
    <xf numFmtId="166" fontId="9" fillId="8" borderId="0" xfId="7" applyFill="1">
      <protection locked="0"/>
    </xf>
    <xf numFmtId="166" fontId="9" fillId="8" borderId="1" xfId="7" applyFill="1" applyBorder="1">
      <protection locked="0"/>
    </xf>
    <xf numFmtId="166" fontId="36" fillId="8" borderId="0" xfId="7" applyFont="1" applyFill="1" applyProtection="1"/>
    <xf numFmtId="166" fontId="36" fillId="8" borderId="1" xfId="7" applyFont="1" applyFill="1" applyBorder="1" applyProtection="1"/>
    <xf numFmtId="166" fontId="46" fillId="0" borderId="0" xfId="8" applyFont="1" applyProtection="1"/>
    <xf numFmtId="1" fontId="36" fillId="0" borderId="0" xfId="0" applyNumberFormat="1" applyFont="1" applyAlignment="1">
      <alignment horizontal="left"/>
    </xf>
    <xf numFmtId="168" fontId="40" fillId="9" borderId="0" xfId="0" applyNumberFormat="1" applyFont="1" applyFill="1" applyAlignment="1">
      <alignment horizontal="left"/>
    </xf>
    <xf numFmtId="0" fontId="48" fillId="0" borderId="0" xfId="0" applyFont="1"/>
    <xf numFmtId="0" fontId="2" fillId="0" borderId="0" xfId="0" quotePrefix="1" applyFont="1"/>
    <xf numFmtId="0" fontId="2" fillId="0" borderId="0" xfId="0" applyFont="1"/>
    <xf numFmtId="165" fontId="37" fillId="0" borderId="0" xfId="14" applyFont="1" applyAlignment="1">
      <alignment horizontal="center"/>
    </xf>
    <xf numFmtId="0" fontId="50" fillId="0" borderId="0" xfId="0" applyFont="1" applyAlignment="1" applyProtection="1">
      <alignment horizontal="center"/>
      <protection locked="0"/>
    </xf>
    <xf numFmtId="170" fontId="37" fillId="0" borderId="0" xfId="0" applyNumberFormat="1" applyFont="1" applyAlignment="1">
      <alignment horizontal="center"/>
    </xf>
    <xf numFmtId="0" fontId="51" fillId="0" borderId="0" xfId="0" applyFont="1" applyAlignment="1">
      <alignment horizontal="center"/>
    </xf>
    <xf numFmtId="0" fontId="19" fillId="0" borderId="0" xfId="0" applyFont="1" applyAlignment="1" applyProtection="1">
      <alignment horizontal="center"/>
      <protection locked="0"/>
    </xf>
    <xf numFmtId="165" fontId="38" fillId="0" borderId="0" xfId="14" applyFont="1" applyAlignment="1">
      <alignment horizontal="center"/>
    </xf>
    <xf numFmtId="165" fontId="52" fillId="0" borderId="0" xfId="0" applyNumberFormat="1" applyFont="1" applyAlignment="1">
      <alignment horizontal="center"/>
    </xf>
    <xf numFmtId="0" fontId="3"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left" indent="1"/>
      <protection locked="0"/>
    </xf>
    <xf numFmtId="165" fontId="36" fillId="0" borderId="0" xfId="0" applyNumberFormat="1" applyFont="1" applyAlignment="1">
      <alignment horizontal="right"/>
    </xf>
    <xf numFmtId="165" fontId="36" fillId="0" borderId="0" xfId="14" applyFont="1"/>
    <xf numFmtId="169" fontId="36" fillId="9" borderId="0" xfId="0" applyNumberFormat="1" applyFont="1" applyFill="1" applyAlignment="1">
      <alignment horizontal="left"/>
    </xf>
    <xf numFmtId="0" fontId="53" fillId="0" borderId="0" xfId="0" applyFont="1"/>
    <xf numFmtId="0" fontId="36" fillId="0" borderId="0" xfId="0" applyFont="1" applyAlignment="1">
      <alignment horizontal="left"/>
    </xf>
    <xf numFmtId="0" fontId="33" fillId="5" borderId="0" xfId="0" applyFont="1" applyFill="1" applyAlignment="1" applyProtection="1">
      <alignment horizontal="center"/>
      <protection locked="0"/>
    </xf>
    <xf numFmtId="0" fontId="7" fillId="5" borderId="0" xfId="0" applyFont="1" applyFill="1" applyAlignment="1" applyProtection="1">
      <alignment horizontal="left" indent="1"/>
      <protection locked="0"/>
    </xf>
    <xf numFmtId="0" fontId="41" fillId="5" borderId="0" xfId="0" applyFont="1" applyFill="1" applyAlignment="1" applyProtection="1">
      <alignment horizontal="left" indent="1"/>
      <protection locked="0"/>
    </xf>
    <xf numFmtId="0" fontId="2" fillId="0" borderId="0" xfId="0" applyFont="1" applyAlignment="1" applyProtection="1">
      <alignment horizontal="left" indent="2"/>
      <protection locked="0"/>
    </xf>
    <xf numFmtId="0" fontId="2" fillId="0" borderId="0" xfId="0" applyFont="1" applyProtection="1">
      <protection locked="0"/>
    </xf>
    <xf numFmtId="165" fontId="36" fillId="0" borderId="0" xfId="14" applyFont="1" applyAlignment="1">
      <alignment horizontal="center"/>
    </xf>
    <xf numFmtId="165" fontId="37" fillId="0" borderId="0" xfId="16" applyFont="1" applyBorder="1" applyAlignment="1">
      <alignment horizontal="center"/>
    </xf>
    <xf numFmtId="0" fontId="0" fillId="0" borderId="0" xfId="0" applyAlignment="1" applyProtection="1">
      <alignment horizontal="left"/>
      <protection locked="0"/>
    </xf>
    <xf numFmtId="173" fontId="36" fillId="0" borderId="0" xfId="1" applyNumberFormat="1" applyFont="1" applyAlignment="1">
      <alignment horizontal="center"/>
    </xf>
    <xf numFmtId="173" fontId="37" fillId="0" borderId="0" xfId="1" applyNumberFormat="1" applyFont="1" applyAlignment="1">
      <alignment horizontal="center"/>
    </xf>
    <xf numFmtId="173" fontId="36" fillId="0" borderId="0" xfId="1" applyNumberFormat="1" applyFont="1"/>
    <xf numFmtId="173" fontId="36" fillId="0" borderId="0" xfId="1" applyNumberFormat="1" applyFont="1" applyAlignment="1">
      <alignment horizontal="right"/>
    </xf>
    <xf numFmtId="173" fontId="36" fillId="9" borderId="0" xfId="1" applyNumberFormat="1" applyFont="1" applyFill="1" applyAlignment="1">
      <alignment horizontal="center"/>
    </xf>
    <xf numFmtId="173" fontId="36" fillId="9" borderId="0" xfId="1" applyNumberFormat="1" applyFont="1" applyFill="1"/>
    <xf numFmtId="173" fontId="36" fillId="9" borderId="0" xfId="1" applyNumberFormat="1" applyFont="1" applyFill="1" applyAlignment="1">
      <alignment horizontal="right"/>
    </xf>
    <xf numFmtId="173" fontId="36" fillId="0" borderId="1" xfId="1" applyNumberFormat="1" applyFont="1" applyBorder="1"/>
    <xf numFmtId="173" fontId="36" fillId="0" borderId="1" xfId="1" applyNumberFormat="1" applyFont="1" applyBorder="1" applyAlignment="1">
      <alignment horizontal="right"/>
    </xf>
    <xf numFmtId="173" fontId="36" fillId="0" borderId="4" xfId="1" applyNumberFormat="1" applyFont="1" applyBorder="1" applyAlignment="1">
      <alignment horizontal="center"/>
    </xf>
    <xf numFmtId="173" fontId="36" fillId="0" borderId="4" xfId="1" applyNumberFormat="1" applyFont="1" applyBorder="1"/>
    <xf numFmtId="173" fontId="36" fillId="0" borderId="4" xfId="1" applyNumberFormat="1" applyFont="1" applyBorder="1" applyAlignment="1">
      <alignment horizontal="right"/>
    </xf>
    <xf numFmtId="173" fontId="36" fillId="0" borderId="0" xfId="1" applyNumberFormat="1" applyFont="1" applyBorder="1"/>
    <xf numFmtId="173" fontId="40" fillId="5" borderId="0" xfId="1" applyNumberFormat="1" applyFont="1" applyFill="1" applyAlignment="1">
      <alignment horizontal="center"/>
    </xf>
    <xf numFmtId="173" fontId="40" fillId="5" borderId="0" xfId="1" applyNumberFormat="1" applyFont="1" applyFill="1"/>
    <xf numFmtId="173" fontId="40" fillId="5" borderId="0" xfId="1" applyNumberFormat="1" applyFont="1" applyFill="1" applyAlignment="1">
      <alignment horizontal="right"/>
    </xf>
    <xf numFmtId="173" fontId="36" fillId="0" borderId="1" xfId="1" applyNumberFormat="1" applyFont="1" applyBorder="1" applyAlignment="1">
      <alignment horizontal="center"/>
    </xf>
    <xf numFmtId="173" fontId="36" fillId="0" borderId="3" xfId="1" applyNumberFormat="1" applyFont="1" applyBorder="1"/>
    <xf numFmtId="173" fontId="36" fillId="0" borderId="3" xfId="1" applyNumberFormat="1" applyFont="1" applyBorder="1" applyAlignment="1">
      <alignment horizontal="right"/>
    </xf>
    <xf numFmtId="1" fontId="0" fillId="0" borderId="0" xfId="0" applyNumberFormat="1" applyProtection="1">
      <protection locked="0"/>
    </xf>
    <xf numFmtId="0" fontId="2" fillId="0" borderId="0" xfId="0" applyFont="1" applyAlignment="1" applyProtection="1">
      <alignment horizontal="left"/>
      <protection locked="0"/>
    </xf>
    <xf numFmtId="0" fontId="0" fillId="7" borderId="0" xfId="0" applyFill="1" applyProtection="1">
      <protection locked="0"/>
    </xf>
    <xf numFmtId="0" fontId="9" fillId="7" borderId="0" xfId="0" applyFont="1" applyFill="1" applyProtection="1">
      <protection locked="0"/>
    </xf>
    <xf numFmtId="0" fontId="7" fillId="5" borderId="0" xfId="0" applyFont="1" applyFill="1" applyAlignment="1" applyProtection="1">
      <alignment horizontal="center"/>
      <protection locked="0"/>
    </xf>
    <xf numFmtId="0" fontId="41" fillId="5" borderId="0" xfId="0" applyFont="1" applyFill="1" applyProtection="1">
      <protection locked="0"/>
    </xf>
    <xf numFmtId="0" fontId="7" fillId="5" borderId="0" xfId="0" applyFont="1" applyFill="1" applyProtection="1">
      <protection locked="0"/>
    </xf>
    <xf numFmtId="173" fontId="54" fillId="0" borderId="0" xfId="1" applyNumberFormat="1" applyFont="1"/>
    <xf numFmtId="173" fontId="33" fillId="5" borderId="0" xfId="1" applyNumberFormat="1" applyFont="1" applyFill="1" applyProtection="1">
      <protection locked="0"/>
    </xf>
    <xf numFmtId="173" fontId="9" fillId="0" borderId="0" xfId="1" applyNumberFormat="1" applyFont="1"/>
    <xf numFmtId="0" fontId="9" fillId="0" borderId="0" xfId="0" applyFont="1" applyProtection="1">
      <protection locked="0"/>
    </xf>
    <xf numFmtId="173" fontId="9" fillId="0" borderId="0" xfId="1" applyNumberFormat="1" applyFont="1" applyProtection="1">
      <protection locked="0"/>
    </xf>
    <xf numFmtId="173" fontId="9" fillId="0" borderId="4" xfId="1" applyNumberFormat="1" applyFont="1" applyBorder="1" applyProtection="1">
      <protection locked="0"/>
    </xf>
    <xf numFmtId="173" fontId="9" fillId="0" borderId="1" xfId="1" applyNumberFormat="1" applyFont="1" applyBorder="1" applyProtection="1">
      <protection locked="0"/>
    </xf>
    <xf numFmtId="173" fontId="9" fillId="0" borderId="3" xfId="1" applyNumberFormat="1" applyFont="1" applyBorder="1" applyProtection="1">
      <protection locked="0"/>
    </xf>
    <xf numFmtId="0" fontId="0" fillId="0" borderId="0" xfId="0" quotePrefix="1" applyAlignment="1">
      <alignment horizontal="center" vertical="center"/>
    </xf>
    <xf numFmtId="0" fontId="2" fillId="10" borderId="0" xfId="0" applyFont="1" applyFill="1" applyAlignment="1">
      <alignment horizontal="left" indent="1"/>
    </xf>
    <xf numFmtId="0" fontId="0" fillId="10" borderId="0" xfId="0" applyFill="1"/>
    <xf numFmtId="41" fontId="0" fillId="10" borderId="0" xfId="0" applyNumberFormat="1" applyFill="1"/>
    <xf numFmtId="0" fontId="55" fillId="0" borderId="0" xfId="0" applyFont="1" applyAlignment="1">
      <alignment horizontal="center"/>
    </xf>
    <xf numFmtId="0" fontId="2" fillId="0" borderId="0" xfId="0" applyFont="1" applyAlignment="1">
      <alignment horizontal="left" indent="1"/>
    </xf>
    <xf numFmtId="173" fontId="17" fillId="0" borderId="4" xfId="1" applyNumberFormat="1" applyFont="1" applyFill="1" applyBorder="1" applyAlignment="1">
      <alignment horizontal="center"/>
    </xf>
    <xf numFmtId="43" fontId="17" fillId="0" borderId="4" xfId="1" applyFont="1" applyFill="1" applyBorder="1" applyAlignment="1">
      <alignment horizontal="center"/>
    </xf>
    <xf numFmtId="173" fontId="2" fillId="0" borderId="4" xfId="0" applyNumberFormat="1" applyFont="1" applyBorder="1"/>
    <xf numFmtId="43" fontId="17" fillId="0" borderId="0" xfId="1" applyFont="1" applyFill="1" applyBorder="1" applyAlignment="1" applyProtection="1">
      <alignment horizontal="center"/>
      <protection locked="0"/>
    </xf>
    <xf numFmtId="43" fontId="17" fillId="0" borderId="1" xfId="1" applyFont="1" applyFill="1" applyBorder="1" applyAlignment="1" applyProtection="1">
      <alignment horizontal="center"/>
      <protection locked="0"/>
    </xf>
    <xf numFmtId="173" fontId="2" fillId="0" borderId="0" xfId="0" applyNumberFormat="1" applyFont="1"/>
    <xf numFmtId="173" fontId="2" fillId="0" borderId="1" xfId="0" applyNumberFormat="1" applyFont="1" applyBorder="1"/>
    <xf numFmtId="0" fontId="56" fillId="0" borderId="0" xfId="0" applyFont="1"/>
    <xf numFmtId="0" fontId="0" fillId="0" borderId="0" xfId="0" applyAlignment="1">
      <alignment horizontal="center" vertical="center"/>
    </xf>
    <xf numFmtId="0" fontId="58" fillId="0" borderId="0" xfId="0" applyFont="1" applyAlignment="1">
      <alignment horizontal="left" vertical="center"/>
    </xf>
    <xf numFmtId="0" fontId="37" fillId="0" borderId="0" xfId="0" applyFont="1" applyAlignment="1">
      <alignment horizontal="center" vertical="center"/>
    </xf>
    <xf numFmtId="0" fontId="59" fillId="0" borderId="0" xfId="0" applyFont="1" applyAlignment="1">
      <alignment horizontal="center" vertical="center"/>
    </xf>
    <xf numFmtId="0" fontId="59" fillId="0" borderId="0" xfId="0" applyFont="1"/>
    <xf numFmtId="0" fontId="57" fillId="11" borderId="7" xfId="0" applyFont="1" applyFill="1" applyBorder="1"/>
    <xf numFmtId="170" fontId="27" fillId="7" borderId="0" xfId="8" applyNumberFormat="1" applyFont="1" applyFill="1" applyAlignment="1" applyProtection="1">
      <alignment horizontal="center"/>
    </xf>
    <xf numFmtId="0" fontId="37" fillId="0" borderId="1" xfId="0" applyFont="1" applyBorder="1" applyAlignment="1">
      <alignment horizontal="center" wrapText="1"/>
    </xf>
    <xf numFmtId="0" fontId="2" fillId="0" borderId="0" xfId="0" applyFont="1" applyAlignment="1">
      <alignment horizontal="left"/>
    </xf>
    <xf numFmtId="42" fontId="9" fillId="0" borderId="0" xfId="1" applyNumberFormat="1" applyFont="1" applyProtection="1">
      <protection locked="0"/>
    </xf>
    <xf numFmtId="42" fontId="9" fillId="0" borderId="0" xfId="1" applyNumberFormat="1" applyFont="1"/>
    <xf numFmtId="41" fontId="9" fillId="0" borderId="0" xfId="1" applyNumberFormat="1" applyFont="1" applyProtection="1">
      <protection locked="0"/>
    </xf>
    <xf numFmtId="41" fontId="9" fillId="0" borderId="0" xfId="1" applyNumberFormat="1" applyFont="1"/>
    <xf numFmtId="41" fontId="9" fillId="0" borderId="1" xfId="1" applyNumberFormat="1" applyFont="1" applyBorder="1" applyProtection="1">
      <protection locked="0"/>
    </xf>
    <xf numFmtId="41" fontId="9" fillId="0" borderId="1" xfId="1" applyNumberFormat="1" applyFont="1" applyBorder="1"/>
    <xf numFmtId="0" fontId="9" fillId="0" borderId="0" xfId="0" applyFont="1" applyAlignment="1">
      <alignment horizontal="left" indent="2"/>
    </xf>
    <xf numFmtId="41" fontId="9" fillId="0" borderId="4" xfId="1" applyNumberFormat="1" applyFont="1" applyBorder="1"/>
    <xf numFmtId="42" fontId="9" fillId="0" borderId="3" xfId="1" applyNumberFormat="1" applyFont="1" applyBorder="1"/>
    <xf numFmtId="0" fontId="2" fillId="0" borderId="0" xfId="0" quotePrefix="1" applyFont="1" applyAlignment="1">
      <alignment horizontal="center"/>
    </xf>
    <xf numFmtId="0" fontId="30" fillId="6" borderId="0" xfId="0" applyFont="1" applyFill="1" applyAlignment="1">
      <alignment horizontal="left"/>
    </xf>
    <xf numFmtId="0" fontId="30" fillId="0" borderId="0" xfId="0" applyFont="1" applyAlignment="1">
      <alignment horizontal="left"/>
    </xf>
    <xf numFmtId="0" fontId="2" fillId="0" borderId="1" xfId="0" applyFont="1" applyBorder="1"/>
    <xf numFmtId="0" fontId="2" fillId="0" borderId="0" xfId="0" applyFont="1" applyAlignment="1">
      <alignment horizontal="left" indent="2"/>
    </xf>
    <xf numFmtId="173" fontId="2" fillId="0" borderId="3" xfId="1" applyNumberFormat="1" applyFont="1" applyBorder="1"/>
    <xf numFmtId="173" fontId="2" fillId="0" borderId="0" xfId="1" applyNumberFormat="1" applyFont="1"/>
    <xf numFmtId="166" fontId="2" fillId="0" borderId="0" xfId="0" applyNumberFormat="1" applyFont="1" applyAlignment="1">
      <alignment horizontal="center"/>
    </xf>
    <xf numFmtId="166" fontId="2" fillId="0" borderId="0" xfId="0" applyNumberFormat="1" applyFont="1" applyAlignment="1">
      <alignment horizontal="left"/>
    </xf>
    <xf numFmtId="166" fontId="2" fillId="0" borderId="0" xfId="0" applyNumberFormat="1" applyFont="1" applyAlignment="1">
      <alignment horizontal="left" indent="2"/>
    </xf>
    <xf numFmtId="166" fontId="2" fillId="0" borderId="0" xfId="0" applyNumberFormat="1" applyFont="1"/>
    <xf numFmtId="173" fontId="0" fillId="0" borderId="0" xfId="0" applyNumberFormat="1" applyProtection="1">
      <protection locked="0"/>
    </xf>
    <xf numFmtId="173" fontId="46" fillId="0" borderId="0" xfId="1" applyNumberFormat="1" applyFont="1" applyProtection="1">
      <protection locked="0"/>
    </xf>
    <xf numFmtId="173" fontId="36" fillId="0" borderId="0" xfId="1" applyNumberFormat="1" applyFont="1" applyFill="1" applyAlignment="1">
      <alignment horizontal="center"/>
    </xf>
    <xf numFmtId="173" fontId="9" fillId="0" borderId="0" xfId="1" applyNumberFormat="1" applyFont="1" applyProtection="1"/>
    <xf numFmtId="173" fontId="9" fillId="0" borderId="0" xfId="1" applyNumberFormat="1" applyFont="1" applyFill="1" applyProtection="1"/>
    <xf numFmtId="173" fontId="9" fillId="0" borderId="4" xfId="1" applyNumberFormat="1" applyFont="1" applyBorder="1" applyProtection="1"/>
    <xf numFmtId="173" fontId="33" fillId="5" borderId="0" xfId="1" applyNumberFormat="1" applyFont="1" applyFill="1" applyProtection="1"/>
    <xf numFmtId="173" fontId="9" fillId="0" borderId="1" xfId="1" applyNumberFormat="1" applyFont="1" applyBorder="1" applyProtection="1"/>
    <xf numFmtId="173" fontId="33" fillId="0" borderId="1" xfId="1" applyNumberFormat="1" applyFont="1" applyBorder="1" applyProtection="1"/>
    <xf numFmtId="173" fontId="9" fillId="0" borderId="3" xfId="1" applyNumberFormat="1" applyFont="1" applyBorder="1" applyProtection="1"/>
    <xf numFmtId="166" fontId="9" fillId="8" borderId="0" xfId="7" applyFill="1" applyProtection="1"/>
    <xf numFmtId="166" fontId="9" fillId="0" borderId="0" xfId="7" applyProtection="1"/>
    <xf numFmtId="166" fontId="9" fillId="0" borderId="0" xfId="0" applyNumberFormat="1" applyFont="1"/>
    <xf numFmtId="166" fontId="0" fillId="0" borderId="4" xfId="0" applyNumberFormat="1" applyBorder="1"/>
    <xf numFmtId="166" fontId="9" fillId="0" borderId="4" xfId="0" applyNumberFormat="1" applyFont="1" applyBorder="1"/>
    <xf numFmtId="166" fontId="33" fillId="8" borderId="0" xfId="0" applyNumberFormat="1" applyFont="1" applyFill="1"/>
    <xf numFmtId="166" fontId="0" fillId="8" borderId="1" xfId="0" applyNumberFormat="1" applyFill="1" applyBorder="1"/>
    <xf numFmtId="166" fontId="9" fillId="0" borderId="1" xfId="7" applyBorder="1" applyProtection="1"/>
    <xf numFmtId="166" fontId="9" fillId="8" borderId="1" xfId="7" applyFill="1" applyBorder="1" applyProtection="1"/>
    <xf numFmtId="166" fontId="9" fillId="0" borderId="1" xfId="0" applyNumberFormat="1" applyFont="1" applyBorder="1"/>
    <xf numFmtId="166" fontId="0" fillId="0" borderId="1" xfId="0" applyNumberFormat="1" applyBorder="1"/>
    <xf numFmtId="166" fontId="0" fillId="8" borderId="0" xfId="0" applyNumberFormat="1" applyFill="1"/>
    <xf numFmtId="166" fontId="0" fillId="0" borderId="3" xfId="0" applyNumberFormat="1" applyBorder="1"/>
    <xf numFmtId="166" fontId="9" fillId="0" borderId="3" xfId="0" applyNumberFormat="1" applyFont="1" applyBorder="1"/>
    <xf numFmtId="166" fontId="0" fillId="0" borderId="0" xfId="0" applyNumberFormat="1" applyAlignment="1">
      <alignment horizontal="center"/>
    </xf>
    <xf numFmtId="0" fontId="3" fillId="0" borderId="0" xfId="0" applyFont="1" applyAlignment="1">
      <alignment vertical="top"/>
    </xf>
    <xf numFmtId="0" fontId="64" fillId="0" borderId="0" xfId="0" applyFont="1" applyAlignment="1">
      <alignment horizontal="left"/>
    </xf>
    <xf numFmtId="0" fontId="64" fillId="0" borderId="0" xfId="0" applyFont="1"/>
    <xf numFmtId="175" fontId="64" fillId="0" borderId="0" xfId="0" applyNumberFormat="1" applyFont="1" applyAlignment="1">
      <alignment horizontal="center"/>
    </xf>
    <xf numFmtId="0" fontId="15" fillId="0" borderId="2" xfId="0" applyFont="1" applyBorder="1" applyAlignment="1">
      <alignment horizontal="center" wrapText="1"/>
    </xf>
    <xf numFmtId="0" fontId="15" fillId="0" borderId="2" xfId="0" applyFont="1" applyBorder="1" applyAlignment="1">
      <alignment horizontal="center"/>
    </xf>
    <xf numFmtId="14" fontId="64" fillId="0" borderId="0" xfId="0" applyNumberFormat="1" applyFont="1" applyAlignment="1">
      <alignment horizontal="center"/>
    </xf>
    <xf numFmtId="0" fontId="64" fillId="0" borderId="0" xfId="0" applyFont="1" applyAlignment="1">
      <alignment horizontal="center"/>
    </xf>
    <xf numFmtId="49" fontId="64" fillId="0" borderId="0" xfId="0" applyNumberFormat="1" applyFont="1" applyAlignment="1">
      <alignment horizontal="left" wrapText="1"/>
    </xf>
    <xf numFmtId="49" fontId="64" fillId="0" borderId="0" xfId="0" applyNumberFormat="1" applyFont="1" applyAlignment="1">
      <alignment horizontal="center" wrapText="1"/>
    </xf>
    <xf numFmtId="0" fontId="0" fillId="0" borderId="0" xfId="0" applyAlignment="1">
      <alignment horizontal="center" vertical="center" wrapText="1"/>
    </xf>
    <xf numFmtId="0" fontId="0" fillId="0" borderId="0" xfId="0" applyAlignment="1">
      <alignment vertical="center"/>
    </xf>
    <xf numFmtId="0" fontId="65" fillId="0" borderId="0" xfId="0" applyFont="1" applyAlignment="1" applyProtection="1">
      <alignment vertical="top"/>
      <protection locked="0"/>
    </xf>
    <xf numFmtId="166" fontId="9" fillId="0" borderId="0" xfId="6" applyFont="1" applyProtection="1"/>
    <xf numFmtId="166" fontId="9" fillId="8" borderId="0" xfId="6" applyFont="1" applyFill="1" applyProtection="1"/>
    <xf numFmtId="166" fontId="9" fillId="8" borderId="0" xfId="8" applyFont="1" applyFill="1" applyProtection="1"/>
    <xf numFmtId="173" fontId="37" fillId="0" borderId="0" xfId="0" applyNumberFormat="1" applyFont="1" applyAlignment="1">
      <alignment horizontal="center"/>
    </xf>
    <xf numFmtId="43" fontId="0" fillId="0" borderId="0" xfId="1" applyFont="1" applyProtection="1">
      <protection locked="0"/>
    </xf>
    <xf numFmtId="173" fontId="36" fillId="0" borderId="4" xfId="1" applyNumberFormat="1" applyFont="1" applyFill="1" applyBorder="1" applyAlignment="1">
      <alignment horizontal="center"/>
    </xf>
    <xf numFmtId="173" fontId="36" fillId="0" borderId="0" xfId="1" applyNumberFormat="1" applyFont="1" applyFill="1"/>
    <xf numFmtId="173" fontId="36" fillId="0" borderId="1" xfId="1" applyNumberFormat="1" applyFont="1" applyFill="1" applyBorder="1" applyAlignment="1">
      <alignment horizontal="center"/>
    </xf>
    <xf numFmtId="173" fontId="36" fillId="0" borderId="1" xfId="1" applyNumberFormat="1" applyFont="1" applyFill="1" applyBorder="1"/>
    <xf numFmtId="173" fontId="36" fillId="0" borderId="3" xfId="1" applyNumberFormat="1" applyFont="1" applyFill="1" applyBorder="1"/>
    <xf numFmtId="2" fontId="0" fillId="0" borderId="0" xfId="0" applyNumberFormat="1"/>
    <xf numFmtId="176" fontId="0" fillId="0" borderId="0" xfId="0" applyNumberFormat="1"/>
    <xf numFmtId="173" fontId="40" fillId="9" borderId="0" xfId="1" applyNumberFormat="1" applyFont="1" applyFill="1" applyAlignment="1">
      <alignment horizontal="center"/>
    </xf>
    <xf numFmtId="0" fontId="3" fillId="6" borderId="6" xfId="0" applyFont="1" applyFill="1" applyBorder="1"/>
    <xf numFmtId="0" fontId="2" fillId="3" borderId="0" xfId="0" applyFont="1" applyFill="1" applyAlignment="1" applyProtection="1">
      <alignment horizontal="center"/>
      <protection locked="0"/>
    </xf>
    <xf numFmtId="0" fontId="0" fillId="0" borderId="0" xfId="0" applyAlignment="1">
      <alignment wrapText="1"/>
    </xf>
    <xf numFmtId="0" fontId="0" fillId="0" borderId="0" xfId="0" quotePrefix="1" applyAlignment="1">
      <alignment wrapText="1"/>
    </xf>
    <xf numFmtId="0" fontId="9"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vertical="center" wrapText="1"/>
    </xf>
    <xf numFmtId="0" fontId="16" fillId="0" borderId="0" xfId="0" applyFont="1" applyAlignment="1">
      <alignment horizontal="center" vertical="center" wrapText="1"/>
    </xf>
    <xf numFmtId="0" fontId="48" fillId="0" borderId="0" xfId="0" applyFont="1" applyAlignment="1">
      <alignment vertical="center" wrapText="1"/>
    </xf>
    <xf numFmtId="0" fontId="3" fillId="20" borderId="0" xfId="0" applyFont="1" applyFill="1" applyAlignment="1">
      <alignment horizontal="center" vertical="center" wrapText="1"/>
    </xf>
    <xf numFmtId="0" fontId="3" fillId="21" borderId="7" xfId="0" applyFont="1" applyFill="1" applyBorder="1" applyAlignment="1">
      <alignment vertical="center"/>
    </xf>
    <xf numFmtId="0" fontId="48" fillId="0" borderId="0" xfId="0" applyFont="1" applyAlignment="1">
      <alignment horizontal="center" vertical="center" wrapText="1"/>
    </xf>
    <xf numFmtId="44" fontId="48" fillId="0" borderId="0" xfId="19" applyFont="1" applyFill="1" applyBorder="1" applyAlignment="1" applyProtection="1">
      <alignment horizontal="center" vertical="center" wrapText="1"/>
    </xf>
    <xf numFmtId="0" fontId="2" fillId="13" borderId="7" xfId="0" applyFont="1" applyFill="1" applyBorder="1" applyAlignment="1">
      <alignment horizontal="center" vertical="center" wrapText="1"/>
    </xf>
    <xf numFmtId="0" fontId="69" fillId="0" borderId="0" xfId="0" applyFont="1" applyProtection="1">
      <protection hidden="1"/>
    </xf>
    <xf numFmtId="0" fontId="26" fillId="0" borderId="0" xfId="0" applyFont="1" applyProtection="1">
      <protection hidden="1"/>
    </xf>
    <xf numFmtId="0" fontId="2" fillId="0" borderId="7" xfId="0" applyFont="1" applyBorder="1" applyAlignment="1">
      <alignment vertical="center"/>
    </xf>
    <xf numFmtId="0" fontId="2" fillId="17" borderId="7" xfId="0" applyFont="1" applyFill="1" applyBorder="1" applyAlignment="1">
      <alignment vertical="center"/>
    </xf>
    <xf numFmtId="0" fontId="3" fillId="8" borderId="7" xfId="0" applyFont="1" applyFill="1" applyBorder="1" applyAlignment="1">
      <alignment vertical="center"/>
    </xf>
    <xf numFmtId="0" fontId="2" fillId="17" borderId="7" xfId="0" applyFont="1" applyFill="1" applyBorder="1" applyAlignment="1">
      <alignment horizontal="center" vertical="center"/>
    </xf>
    <xf numFmtId="0" fontId="2" fillId="0" borderId="7" xfId="0" applyFont="1" applyBorder="1" applyAlignment="1" applyProtection="1">
      <alignment horizontal="left" vertical="center" wrapText="1"/>
      <protection locked="0"/>
    </xf>
    <xf numFmtId="44" fontId="48" fillId="0" borderId="0" xfId="0" applyNumberFormat="1" applyFont="1" applyAlignment="1">
      <alignment horizontal="center" vertical="center"/>
    </xf>
    <xf numFmtId="0" fontId="3" fillId="8" borderId="9" xfId="0" applyFont="1" applyFill="1" applyBorder="1" applyAlignment="1">
      <alignment horizontal="center" vertical="center" wrapText="1"/>
    </xf>
    <xf numFmtId="0" fontId="0" fillId="0" borderId="0" xfId="25" applyFont="1"/>
    <xf numFmtId="0" fontId="9" fillId="0" borderId="0" xfId="25" applyFont="1"/>
    <xf numFmtId="41" fontId="0" fillId="0" borderId="0" xfId="25" applyNumberFormat="1" applyFont="1" applyProtection="1">
      <protection locked="0"/>
    </xf>
    <xf numFmtId="41" fontId="0" fillId="0" borderId="0" xfId="25" applyNumberFormat="1" applyFont="1"/>
    <xf numFmtId="41" fontId="0" fillId="0" borderId="1" xfId="25" applyNumberFormat="1" applyFont="1" applyBorder="1" applyProtection="1">
      <protection locked="0"/>
    </xf>
    <xf numFmtId="173" fontId="17" fillId="0" borderId="0" xfId="1" applyNumberFormat="1" applyFont="1" applyAlignment="1" applyProtection="1">
      <alignment horizontal="center"/>
      <protection locked="0"/>
    </xf>
    <xf numFmtId="173" fontId="17" fillId="0" borderId="1" xfId="1" applyNumberFormat="1" applyFont="1" applyBorder="1" applyAlignment="1" applyProtection="1">
      <alignment horizontal="center"/>
      <protection locked="0"/>
    </xf>
    <xf numFmtId="43" fontId="17" fillId="0" borderId="0" xfId="1" applyFont="1" applyAlignment="1" applyProtection="1">
      <alignment horizontal="center"/>
      <protection locked="0"/>
    </xf>
    <xf numFmtId="43" fontId="17" fillId="0" borderId="1" xfId="1" applyFont="1" applyBorder="1" applyAlignment="1" applyProtection="1">
      <alignment horizontal="center"/>
      <protection locked="0"/>
    </xf>
    <xf numFmtId="0" fontId="9" fillId="7" borderId="0" xfId="0" applyFont="1" applyFill="1"/>
    <xf numFmtId="0" fontId="0" fillId="7" borderId="0" xfId="0" applyFill="1"/>
    <xf numFmtId="0" fontId="0" fillId="21" borderId="0" xfId="0" applyFill="1"/>
    <xf numFmtId="0" fontId="26" fillId="21" borderId="0" xfId="0" applyFont="1" applyFill="1" applyProtection="1">
      <protection hidden="1"/>
    </xf>
    <xf numFmtId="0" fontId="3" fillId="16" borderId="14" xfId="0" applyFont="1" applyFill="1" applyBorder="1" applyAlignment="1">
      <alignment horizontal="center"/>
    </xf>
    <xf numFmtId="0" fontId="3" fillId="16" borderId="2" xfId="0" applyFont="1" applyFill="1" applyBorder="1" applyAlignment="1">
      <alignment horizontal="center"/>
    </xf>
    <xf numFmtId="0" fontId="3" fillId="16" borderId="15" xfId="0" applyFont="1" applyFill="1" applyBorder="1" applyAlignment="1">
      <alignment horizontal="center"/>
    </xf>
    <xf numFmtId="0" fontId="3" fillId="15" borderId="0" xfId="0" applyFont="1" applyFill="1" applyAlignment="1">
      <alignment horizontal="left" indent="3"/>
    </xf>
    <xf numFmtId="41" fontId="3" fillId="15" borderId="0" xfId="0" applyNumberFormat="1" applyFont="1" applyFill="1"/>
    <xf numFmtId="41" fontId="3" fillId="15" borderId="18" xfId="0" applyNumberFormat="1" applyFont="1" applyFill="1" applyBorder="1"/>
    <xf numFmtId="41" fontId="0" fillId="15" borderId="16" xfId="0" applyNumberFormat="1" applyFill="1" applyBorder="1"/>
    <xf numFmtId="41" fontId="0" fillId="15" borderId="17" xfId="0" applyNumberFormat="1" applyFill="1" applyBorder="1"/>
    <xf numFmtId="41" fontId="0" fillId="15" borderId="18" xfId="0" applyNumberFormat="1" applyFill="1" applyBorder="1"/>
    <xf numFmtId="0" fontId="3" fillId="8" borderId="8" xfId="0" applyFont="1" applyFill="1" applyBorder="1" applyAlignment="1">
      <alignment vertical="center"/>
    </xf>
    <xf numFmtId="0" fontId="3" fillId="8" borderId="4" xfId="0" applyFont="1" applyFill="1" applyBorder="1" applyAlignment="1">
      <alignment vertical="center"/>
    </xf>
    <xf numFmtId="0" fontId="2" fillId="23" borderId="8" xfId="0" applyFont="1" applyFill="1" applyBorder="1" applyAlignment="1">
      <alignment vertical="center"/>
    </xf>
    <xf numFmtId="0" fontId="2" fillId="23" borderId="4" xfId="0" applyFont="1" applyFill="1" applyBorder="1" applyAlignment="1">
      <alignment vertical="center"/>
    </xf>
    <xf numFmtId="44" fontId="2" fillId="0" borderId="11" xfId="19" applyFont="1" applyFill="1" applyBorder="1" applyAlignment="1" applyProtection="1">
      <alignment horizontal="center" vertical="center"/>
    </xf>
    <xf numFmtId="44" fontId="2" fillId="16" borderId="11" xfId="19" applyFont="1" applyFill="1" applyBorder="1" applyAlignment="1" applyProtection="1">
      <alignment horizontal="center" vertical="center"/>
      <protection locked="0"/>
    </xf>
    <xf numFmtId="0" fontId="26" fillId="6" borderId="0" xfId="0" applyFont="1" applyFill="1" applyProtection="1">
      <protection hidden="1"/>
    </xf>
    <xf numFmtId="0" fontId="69" fillId="6" borderId="0" xfId="0" applyFont="1" applyFill="1" applyProtection="1">
      <protection hidden="1"/>
    </xf>
    <xf numFmtId="0" fontId="3" fillId="13" borderId="7" xfId="0" applyFont="1" applyFill="1" applyBorder="1" applyAlignment="1">
      <alignment horizontal="center" vertical="center" wrapText="1"/>
    </xf>
    <xf numFmtId="44" fontId="3" fillId="16" borderId="11" xfId="19" applyFont="1" applyFill="1" applyBorder="1" applyAlignment="1" applyProtection="1">
      <alignment horizontal="center" vertical="center"/>
      <protection locked="0"/>
    </xf>
    <xf numFmtId="44" fontId="3" fillId="21" borderId="7" xfId="19" applyFont="1" applyFill="1" applyBorder="1" applyAlignment="1">
      <alignment vertical="center"/>
    </xf>
    <xf numFmtId="0" fontId="0" fillId="0" borderId="0" xfId="0" applyAlignment="1" applyProtection="1">
      <alignment vertical="center" wrapText="1"/>
      <protection locked="0"/>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14" fontId="64" fillId="0" borderId="0" xfId="0" applyNumberFormat="1" applyFont="1" applyAlignment="1">
      <alignment horizontal="center" vertical="center"/>
    </xf>
    <xf numFmtId="0" fontId="64" fillId="0" borderId="0" xfId="0" applyFont="1" applyAlignment="1">
      <alignment vertical="center"/>
    </xf>
    <xf numFmtId="0" fontId="64" fillId="0" borderId="0" xfId="0" applyFont="1" applyAlignment="1">
      <alignment horizontal="center" vertical="center"/>
    </xf>
    <xf numFmtId="49" fontId="64" fillId="0" borderId="0" xfId="0" applyNumberFormat="1" applyFont="1" applyAlignment="1">
      <alignment horizontal="left" vertical="center" wrapText="1"/>
    </xf>
    <xf numFmtId="43" fontId="2" fillId="24" borderId="4" xfId="1" applyFont="1" applyFill="1" applyBorder="1" applyAlignment="1" applyProtection="1">
      <alignment vertical="center"/>
    </xf>
    <xf numFmtId="43" fontId="2" fillId="24" borderId="8" xfId="1" applyFont="1" applyFill="1" applyBorder="1" applyAlignment="1" applyProtection="1">
      <alignment vertical="center"/>
    </xf>
    <xf numFmtId="0" fontId="67" fillId="0" borderId="0" xfId="0" applyFont="1" applyAlignment="1">
      <alignment vertical="center"/>
    </xf>
    <xf numFmtId="0" fontId="4" fillId="0" borderId="0" xfId="42"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2" fillId="0" borderId="0" xfId="0" quotePrefix="1" applyFont="1" applyAlignment="1">
      <alignment vertical="center"/>
    </xf>
    <xf numFmtId="0" fontId="0" fillId="0" borderId="0" xfId="42" applyFont="1" applyAlignment="1">
      <alignment vertical="center"/>
    </xf>
    <xf numFmtId="0" fontId="2" fillId="12" borderId="12" xfId="0" quotePrefix="1" applyFont="1" applyFill="1" applyBorder="1" applyAlignment="1">
      <alignment vertical="center"/>
    </xf>
    <xf numFmtId="0" fontId="2" fillId="12" borderId="14" xfId="0" quotePrefix="1" applyFont="1" applyFill="1" applyBorder="1" applyAlignment="1">
      <alignment vertical="center"/>
    </xf>
    <xf numFmtId="0" fontId="2" fillId="12" borderId="2" xfId="0" applyFont="1" applyFill="1" applyBorder="1" applyAlignment="1">
      <alignment vertical="center"/>
    </xf>
    <xf numFmtId="0" fontId="3" fillId="0" borderId="0" xfId="0" applyFont="1" applyAlignment="1">
      <alignment horizontal="center" vertical="center"/>
    </xf>
    <xf numFmtId="0" fontId="71" fillId="0" borderId="0" xfId="22" applyFont="1" applyAlignment="1">
      <alignment horizontal="center" vertical="center"/>
    </xf>
    <xf numFmtId="0" fontId="71" fillId="0" borderId="0" xfId="22" applyFont="1" applyAlignment="1">
      <alignment vertical="center"/>
    </xf>
    <xf numFmtId="0" fontId="66" fillId="14" borderId="4" xfId="0" applyFont="1" applyFill="1" applyBorder="1" applyAlignment="1">
      <alignment horizontal="center" vertical="center"/>
    </xf>
    <xf numFmtId="0" fontId="66" fillId="14" borderId="9" xfId="0" applyFont="1" applyFill="1" applyBorder="1" applyAlignment="1">
      <alignment horizontal="center" vertical="center"/>
    </xf>
    <xf numFmtId="0" fontId="71" fillId="0" borderId="7" xfId="22" applyFont="1" applyBorder="1" applyAlignment="1">
      <alignment vertical="center"/>
    </xf>
    <xf numFmtId="0" fontId="71" fillId="0" borderId="7" xfId="22" applyFont="1" applyBorder="1" applyAlignment="1">
      <alignment vertical="center" wrapText="1"/>
    </xf>
    <xf numFmtId="0" fontId="0" fillId="0" borderId="0" xfId="43" applyFont="1" applyAlignment="1" applyProtection="1">
      <alignment vertical="center"/>
      <protection hidden="1"/>
    </xf>
    <xf numFmtId="0" fontId="0" fillId="0" borderId="0" xfId="44" applyFont="1" applyAlignment="1" applyProtection="1">
      <alignment vertical="center"/>
      <protection hidden="1"/>
    </xf>
    <xf numFmtId="0" fontId="9" fillId="0" borderId="0" xfId="0" applyFont="1" applyAlignment="1">
      <alignment horizontal="center" vertical="center"/>
    </xf>
    <xf numFmtId="43" fontId="0" fillId="0" borderId="0" xfId="1" applyFont="1" applyAlignment="1">
      <alignment vertical="center"/>
    </xf>
    <xf numFmtId="0" fontId="77" fillId="0" borderId="0" xfId="42" applyFont="1" applyAlignment="1">
      <alignment vertical="center"/>
    </xf>
    <xf numFmtId="0" fontId="62" fillId="12" borderId="2" xfId="21" applyFill="1" applyBorder="1" applyAlignment="1" applyProtection="1">
      <alignment vertical="center"/>
    </xf>
    <xf numFmtId="0" fontId="2" fillId="13" borderId="21" xfId="0" applyFont="1" applyFill="1" applyBorder="1" applyAlignment="1">
      <alignment horizontal="center" vertical="center" wrapText="1"/>
    </xf>
    <xf numFmtId="0" fontId="0" fillId="0" borderId="7" xfId="0" applyBorder="1" applyAlignment="1" applyProtection="1">
      <alignment horizontal="left" vertical="center" wrapText="1"/>
      <protection locked="0"/>
    </xf>
    <xf numFmtId="0" fontId="3" fillId="8" borderId="1" xfId="0" applyFont="1" applyFill="1" applyBorder="1" applyAlignment="1">
      <alignment vertical="center"/>
    </xf>
    <xf numFmtId="0" fontId="2" fillId="17" borderId="21" xfId="0" applyFont="1" applyFill="1" applyBorder="1" applyAlignment="1">
      <alignment horizontal="center" vertical="center"/>
    </xf>
    <xf numFmtId="0" fontId="79" fillId="21" borderId="5" xfId="0" applyFont="1" applyFill="1" applyBorder="1" applyAlignment="1">
      <alignment horizontal="center" vertical="center" wrapText="1"/>
    </xf>
    <xf numFmtId="44" fontId="48" fillId="21" borderId="5" xfId="19" applyFont="1" applyFill="1" applyBorder="1" applyAlignment="1" applyProtection="1">
      <alignment horizontal="center" vertical="center" wrapText="1"/>
    </xf>
    <xf numFmtId="44" fontId="48" fillId="21" borderId="5" xfId="19" applyFont="1" applyFill="1" applyBorder="1" applyAlignment="1">
      <alignment horizontal="center" vertical="center" wrapText="1"/>
    </xf>
    <xf numFmtId="0" fontId="48" fillId="21" borderId="5" xfId="0" applyFont="1" applyFill="1" applyBorder="1" applyAlignment="1">
      <alignment horizontal="center" vertical="center" wrapText="1"/>
    </xf>
    <xf numFmtId="0" fontId="48" fillId="13" borderId="5" xfId="0" applyFont="1" applyFill="1" applyBorder="1" applyAlignment="1">
      <alignment horizontal="center" vertical="center" wrapText="1"/>
    </xf>
    <xf numFmtId="0" fontId="81" fillId="0" borderId="0" xfId="0" applyFont="1" applyAlignment="1">
      <alignment horizontal="center" vertical="center" wrapText="1"/>
    </xf>
    <xf numFmtId="43" fontId="12" fillId="24" borderId="5" xfId="1" applyFont="1" applyFill="1" applyBorder="1" applyAlignment="1" applyProtection="1">
      <alignment vertical="center"/>
      <protection locked="0"/>
    </xf>
    <xf numFmtId="43" fontId="82" fillId="22" borderId="16" xfId="0" applyNumberFormat="1" applyFont="1" applyFill="1" applyBorder="1" applyAlignment="1">
      <alignment vertical="center"/>
    </xf>
    <xf numFmtId="0" fontId="2" fillId="19" borderId="0" xfId="0" applyFont="1" applyFill="1" applyAlignment="1">
      <alignment horizontal="center" vertical="center"/>
    </xf>
    <xf numFmtId="0" fontId="83" fillId="12" borderId="12" xfId="0" quotePrefix="1" applyFont="1" applyFill="1" applyBorder="1" applyAlignment="1">
      <alignment vertical="center"/>
    </xf>
    <xf numFmtId="0" fontId="71" fillId="0" borderId="21" xfId="22" applyFont="1" applyBorder="1" applyAlignment="1">
      <alignment vertical="center" wrapText="1"/>
    </xf>
    <xf numFmtId="0" fontId="2" fillId="16" borderId="7" xfId="0" applyFont="1" applyFill="1" applyBorder="1" applyAlignment="1" applyProtection="1">
      <alignment horizontal="left" vertical="center" wrapText="1"/>
      <protection locked="0"/>
    </xf>
    <xf numFmtId="0" fontId="2" fillId="16" borderId="22" xfId="0" applyFont="1" applyFill="1" applyBorder="1" applyAlignment="1" applyProtection="1">
      <alignment horizontal="left" vertical="center" wrapText="1"/>
      <protection locked="0"/>
    </xf>
    <xf numFmtId="0" fontId="0" fillId="12" borderId="0" xfId="43" applyFont="1" applyFill="1" applyAlignment="1" applyProtection="1">
      <alignment vertical="center"/>
      <protection hidden="1"/>
    </xf>
    <xf numFmtId="0" fontId="0" fillId="12" borderId="0" xfId="44" applyFont="1" applyFill="1" applyAlignment="1" applyProtection="1">
      <alignment vertical="center"/>
      <protection hidden="1"/>
    </xf>
    <xf numFmtId="0" fontId="0" fillId="18" borderId="0" xfId="44" applyFont="1" applyFill="1" applyAlignment="1" applyProtection="1">
      <alignment vertical="center"/>
      <protection hidden="1"/>
    </xf>
    <xf numFmtId="0" fontId="0" fillId="25" borderId="0" xfId="43" applyFont="1" applyFill="1" applyAlignment="1" applyProtection="1">
      <alignment vertical="center"/>
      <protection hidden="1"/>
    </xf>
    <xf numFmtId="0" fontId="0" fillId="25" borderId="0" xfId="44" applyFont="1" applyFill="1" applyAlignment="1" applyProtection="1">
      <alignment vertical="center"/>
      <protection hidden="1"/>
    </xf>
    <xf numFmtId="44" fontId="48" fillId="0" borderId="0" xfId="19" applyFont="1" applyFill="1" applyBorder="1" applyAlignment="1" applyProtection="1">
      <alignment horizontal="left" vertical="center"/>
    </xf>
    <xf numFmtId="0" fontId="78" fillId="22" borderId="7" xfId="0" applyFont="1" applyFill="1" applyBorder="1" applyAlignment="1">
      <alignment horizontal="center" vertical="center"/>
    </xf>
    <xf numFmtId="0" fontId="47" fillId="12" borderId="0" xfId="43" applyFont="1" applyFill="1" applyAlignment="1" applyProtection="1">
      <alignment vertical="center"/>
      <protection hidden="1"/>
    </xf>
    <xf numFmtId="43" fontId="2" fillId="24" borderId="7" xfId="1" applyFont="1" applyFill="1" applyBorder="1" applyAlignment="1" applyProtection="1">
      <alignment horizontal="left" vertical="center"/>
    </xf>
    <xf numFmtId="43" fontId="85" fillId="24" borderId="4" xfId="1" applyFont="1" applyFill="1" applyBorder="1" applyAlignment="1" applyProtection="1">
      <alignment vertical="center"/>
    </xf>
    <xf numFmtId="0" fontId="26" fillId="0" borderId="0" xfId="20" applyFont="1" applyAlignment="1" applyProtection="1">
      <alignment vertical="center"/>
      <protection locked="0"/>
    </xf>
    <xf numFmtId="0" fontId="69" fillId="7" borderId="0" xfId="20" applyFont="1" applyFill="1" applyAlignment="1" applyProtection="1">
      <alignment vertical="center"/>
      <protection locked="0"/>
    </xf>
    <xf numFmtId="0" fontId="15" fillId="0" borderId="2" xfId="0" applyFont="1" applyBorder="1" applyAlignment="1" applyProtection="1">
      <alignment horizontal="center" vertical="center" wrapText="1"/>
      <protection locked="0"/>
    </xf>
    <xf numFmtId="14" fontId="0" fillId="0" borderId="0" xfId="0" applyNumberFormat="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3" fillId="12" borderId="12" xfId="0" quotePrefix="1" applyFont="1" applyFill="1" applyBorder="1" applyAlignment="1">
      <alignment vertical="center"/>
    </xf>
    <xf numFmtId="0" fontId="2" fillId="12" borderId="0" xfId="0" applyFont="1" applyFill="1" applyAlignment="1">
      <alignment vertical="center"/>
    </xf>
    <xf numFmtId="0" fontId="3" fillId="12" borderId="0" xfId="0" applyFont="1" applyFill="1" applyAlignment="1">
      <alignment horizontal="right" vertical="center"/>
    </xf>
    <xf numFmtId="0" fontId="71" fillId="0" borderId="7" xfId="22" applyFont="1" applyBorder="1" applyAlignment="1" applyProtection="1">
      <alignment vertical="center" wrapText="1"/>
      <protection locked="0"/>
    </xf>
    <xf numFmtId="0" fontId="2" fillId="3" borderId="0" xfId="0" applyFont="1" applyFill="1" applyAlignment="1" applyProtection="1">
      <alignment horizontal="left" wrapText="1"/>
      <protection locked="0"/>
    </xf>
    <xf numFmtId="0" fontId="86" fillId="0" borderId="0" xfId="0" applyFont="1" applyAlignment="1">
      <alignment vertical="center"/>
    </xf>
    <xf numFmtId="44" fontId="2" fillId="16" borderId="7" xfId="19" applyFont="1" applyFill="1" applyBorder="1" applyAlignment="1" applyProtection="1">
      <alignment vertical="center"/>
      <protection locked="0"/>
    </xf>
    <xf numFmtId="44" fontId="3" fillId="16" borderId="7" xfId="19" applyFont="1" applyFill="1" applyBorder="1" applyAlignment="1" applyProtection="1">
      <alignment vertical="center"/>
      <protection locked="0"/>
    </xf>
    <xf numFmtId="44" fontId="2" fillId="0" borderId="7" xfId="19" applyFont="1" applyBorder="1" applyAlignment="1" applyProtection="1">
      <alignment vertical="center"/>
    </xf>
    <xf numFmtId="44" fontId="3" fillId="16" borderId="21" xfId="19" applyFont="1" applyFill="1" applyBorder="1" applyAlignment="1" applyProtection="1">
      <alignment vertical="center"/>
      <protection locked="0"/>
    </xf>
    <xf numFmtId="44" fontId="2" fillId="16" borderId="21" xfId="19" applyFont="1" applyFill="1" applyBorder="1" applyAlignment="1" applyProtection="1">
      <alignment vertical="center"/>
      <protection locked="0"/>
    </xf>
    <xf numFmtId="44" fontId="2" fillId="0" borderId="21" xfId="19" applyFont="1" applyBorder="1" applyAlignment="1" applyProtection="1">
      <alignment vertical="center"/>
    </xf>
    <xf numFmtId="0" fontId="48" fillId="0" borderId="0" xfId="0" applyFont="1" applyAlignment="1">
      <alignment horizontal="center"/>
    </xf>
    <xf numFmtId="0" fontId="59" fillId="7" borderId="0" xfId="0" applyFont="1" applyFill="1" applyAlignment="1">
      <alignment horizontal="center" vertical="center"/>
    </xf>
    <xf numFmtId="0" fontId="47" fillId="7" borderId="0" xfId="0" applyFont="1" applyFill="1"/>
    <xf numFmtId="0" fontId="0" fillId="21" borderId="0" xfId="0" applyFill="1" applyAlignment="1">
      <alignment vertical="center"/>
    </xf>
    <xf numFmtId="0" fontId="47" fillId="0" borderId="0" xfId="0" applyFont="1" applyAlignment="1">
      <alignment vertical="center"/>
    </xf>
    <xf numFmtId="0" fontId="0" fillId="0" borderId="0" xfId="0" applyAlignment="1" applyProtection="1">
      <alignment wrapText="1"/>
      <protection locked="0"/>
    </xf>
    <xf numFmtId="44" fontId="0" fillId="0" borderId="0" xfId="19" applyFont="1" applyAlignment="1" applyProtection="1">
      <alignment wrapText="1"/>
      <protection locked="0"/>
    </xf>
    <xf numFmtId="0" fontId="47" fillId="7" borderId="0" xfId="0" applyFont="1" applyFill="1" applyAlignment="1">
      <alignment horizontal="center"/>
    </xf>
    <xf numFmtId="0" fontId="48" fillId="7" borderId="1" xfId="0" applyFont="1" applyFill="1" applyBorder="1" applyAlignment="1">
      <alignment horizontal="center"/>
    </xf>
    <xf numFmtId="0" fontId="9" fillId="7" borderId="0" xfId="0" applyFont="1" applyFill="1" applyAlignment="1">
      <alignment horizontal="center"/>
    </xf>
    <xf numFmtId="0" fontId="65" fillId="0" borderId="0" xfId="0" applyFont="1"/>
    <xf numFmtId="0" fontId="65" fillId="6" borderId="0" xfId="0" applyFont="1" applyFill="1" applyProtection="1">
      <protection locked="0"/>
      <extLst>
        <ext xmlns:xfpb="http://schemas.microsoft.com/office/spreadsheetml/2022/featurepropertybag" uri="{C7286773-470A-42A8-94C5-96B5CB345126}">
          <xfpb:xfComplement i="0"/>
        </ext>
      </extLst>
    </xf>
    <xf numFmtId="0" fontId="15" fillId="0" borderId="0" xfId="0" applyFont="1" applyAlignment="1">
      <alignment horizontal="center"/>
    </xf>
    <xf numFmtId="0" fontId="2" fillId="0" borderId="0" xfId="0" applyFont="1" applyAlignment="1">
      <alignment horizontal="center"/>
    </xf>
    <xf numFmtId="0" fontId="14" fillId="0" borderId="0" xfId="0" applyFont="1" applyAlignment="1">
      <alignment horizontal="center"/>
    </xf>
    <xf numFmtId="0" fontId="2" fillId="12" borderId="13" xfId="0" applyFont="1" applyFill="1" applyBorder="1" applyAlignment="1">
      <alignment vertical="center"/>
    </xf>
    <xf numFmtId="0" fontId="2" fillId="12" borderId="15" xfId="0" applyFont="1" applyFill="1" applyBorder="1" applyAlignment="1">
      <alignment vertical="center"/>
    </xf>
    <xf numFmtId="0" fontId="93" fillId="0" borderId="0" xfId="46" applyFont="1"/>
    <xf numFmtId="0" fontId="93" fillId="0" borderId="0" xfId="46" applyFont="1" applyAlignment="1">
      <alignment horizontal="center"/>
    </xf>
    <xf numFmtId="41" fontId="0" fillId="7" borderId="0" xfId="0" applyNumberFormat="1" applyFill="1"/>
    <xf numFmtId="0" fontId="3" fillId="7" borderId="0" xfId="0" applyFont="1" applyFill="1"/>
    <xf numFmtId="0" fontId="0" fillId="7" borderId="0" xfId="0" applyFill="1" applyAlignment="1">
      <alignment horizontal="left" indent="1"/>
    </xf>
    <xf numFmtId="0" fontId="16" fillId="7" borderId="0" xfId="0" applyFont="1" applyFill="1" applyAlignment="1">
      <alignment horizontal="center"/>
    </xf>
    <xf numFmtId="41" fontId="0" fillId="7" borderId="0" xfId="1" applyNumberFormat="1" applyFont="1" applyFill="1"/>
    <xf numFmtId="0" fontId="0" fillId="7" borderId="0" xfId="0" applyFill="1" applyAlignment="1">
      <alignment horizontal="left" indent="3"/>
    </xf>
    <xf numFmtId="41" fontId="0" fillId="7" borderId="4" xfId="0" applyNumberFormat="1" applyFill="1" applyBorder="1"/>
    <xf numFmtId="41" fontId="0" fillId="7" borderId="4" xfId="1" applyNumberFormat="1" applyFont="1" applyFill="1" applyBorder="1"/>
    <xf numFmtId="0" fontId="7" fillId="7" borderId="0" xfId="0" applyFont="1" applyFill="1"/>
    <xf numFmtId="41" fontId="0" fillId="7" borderId="0" xfId="25" applyNumberFormat="1" applyFont="1" applyFill="1" applyProtection="1">
      <protection locked="0"/>
    </xf>
    <xf numFmtId="41" fontId="0" fillId="7" borderId="0" xfId="0" applyNumberFormat="1" applyFill="1" applyProtection="1">
      <protection locked="0"/>
    </xf>
    <xf numFmtId="43" fontId="0" fillId="0" borderId="0" xfId="1" applyFont="1"/>
    <xf numFmtId="0" fontId="47" fillId="0" borderId="0" xfId="42" applyFont="1" applyAlignment="1">
      <alignment vertical="center"/>
    </xf>
    <xf numFmtId="0" fontId="94" fillId="12" borderId="19" xfId="0" quotePrefix="1" applyFont="1" applyFill="1" applyBorder="1" applyAlignment="1">
      <alignment horizontal="left" vertical="center"/>
    </xf>
    <xf numFmtId="0" fontId="94" fillId="12" borderId="20" xfId="0" quotePrefix="1" applyFont="1" applyFill="1" applyBorder="1" applyAlignment="1">
      <alignment horizontal="left" vertical="center" wrapText="1"/>
    </xf>
    <xf numFmtId="0" fontId="94" fillId="12" borderId="6" xfId="0" quotePrefix="1" applyFont="1" applyFill="1" applyBorder="1" applyAlignment="1">
      <alignment horizontal="left" vertical="center" wrapText="1"/>
    </xf>
    <xf numFmtId="44" fontId="3" fillId="21" borderId="7" xfId="19" applyFont="1" applyFill="1" applyBorder="1" applyAlignment="1" applyProtection="1">
      <alignment vertical="center"/>
    </xf>
    <xf numFmtId="0" fontId="2" fillId="25" borderId="0" xfId="0" applyFont="1" applyFill="1" applyAlignment="1">
      <alignment horizontal="center" vertical="center"/>
    </xf>
    <xf numFmtId="0" fontId="2" fillId="12" borderId="0" xfId="0" applyFont="1" applyFill="1" applyAlignment="1">
      <alignment horizontal="center" vertical="center"/>
    </xf>
    <xf numFmtId="0" fontId="2" fillId="18" borderId="0" xfId="0" applyFont="1" applyFill="1" applyAlignment="1">
      <alignment horizontal="center" vertical="center"/>
    </xf>
    <xf numFmtId="44" fontId="2" fillId="16" borderId="11" xfId="19" applyFont="1" applyFill="1" applyBorder="1" applyAlignment="1" applyProtection="1">
      <alignment horizontal="center" vertical="center"/>
    </xf>
    <xf numFmtId="44" fontId="3" fillId="16" borderId="11" xfId="19" applyFont="1" applyFill="1" applyBorder="1" applyAlignment="1" applyProtection="1">
      <alignment horizontal="center" vertical="center"/>
    </xf>
    <xf numFmtId="0" fontId="2" fillId="0" borderId="7" xfId="0" applyFont="1" applyBorder="1" applyAlignment="1">
      <alignment horizontal="left" vertical="center" wrapText="1"/>
    </xf>
    <xf numFmtId="0" fontId="0" fillId="25" borderId="0" xfId="0" applyFill="1" applyAlignment="1">
      <alignment vertical="center"/>
    </xf>
    <xf numFmtId="0" fontId="2" fillId="25" borderId="0" xfId="0" applyFont="1" applyFill="1" applyAlignment="1">
      <alignment vertical="center"/>
    </xf>
    <xf numFmtId="0" fontId="0" fillId="12" borderId="0" xfId="0" applyFill="1" applyAlignment="1">
      <alignment vertical="center"/>
    </xf>
    <xf numFmtId="0" fontId="0" fillId="18" borderId="0" xfId="42" applyFont="1" applyFill="1" applyAlignment="1">
      <alignment vertical="center"/>
    </xf>
    <xf numFmtId="0" fontId="0" fillId="0" borderId="7" xfId="0" applyBorder="1" applyAlignment="1">
      <alignment horizontal="left" vertical="center" wrapText="1"/>
    </xf>
    <xf numFmtId="0" fontId="2" fillId="16" borderId="7" xfId="0" applyFont="1" applyFill="1" applyBorder="1" applyAlignment="1">
      <alignment horizontal="left" vertical="center" wrapText="1"/>
    </xf>
    <xf numFmtId="44" fontId="2" fillId="16" borderId="7" xfId="19" applyFont="1" applyFill="1" applyBorder="1" applyAlignment="1" applyProtection="1">
      <alignment vertical="center"/>
    </xf>
    <xf numFmtId="44" fontId="3" fillId="16" borderId="7" xfId="19" applyFont="1" applyFill="1" applyBorder="1" applyAlignment="1" applyProtection="1">
      <alignment vertical="center"/>
    </xf>
    <xf numFmtId="44" fontId="3" fillId="16" borderId="21" xfId="19" applyFont="1" applyFill="1" applyBorder="1" applyAlignment="1" applyProtection="1">
      <alignment vertical="center"/>
    </xf>
    <xf numFmtId="43" fontId="12" fillId="24" borderId="5" xfId="1" applyFont="1" applyFill="1" applyBorder="1" applyAlignment="1" applyProtection="1">
      <alignment vertical="center"/>
    </xf>
    <xf numFmtId="0" fontId="2" fillId="16" borderId="22" xfId="0" applyFont="1" applyFill="1" applyBorder="1" applyAlignment="1">
      <alignment horizontal="left" vertical="center" wrapText="1"/>
    </xf>
    <xf numFmtId="44" fontId="2" fillId="16" borderId="21" xfId="19" applyFont="1" applyFill="1" applyBorder="1" applyAlignment="1" applyProtection="1">
      <alignment vertical="center"/>
    </xf>
    <xf numFmtId="0" fontId="47" fillId="25" borderId="0" xfId="0" applyFont="1" applyFill="1" applyAlignment="1">
      <alignment horizontal="center" vertical="center"/>
    </xf>
    <xf numFmtId="0" fontId="47" fillId="12" borderId="0" xfId="0" applyFont="1" applyFill="1" applyAlignment="1">
      <alignment vertical="center"/>
    </xf>
    <xf numFmtId="43" fontId="0" fillId="0" borderId="0" xfId="1" applyFont="1" applyAlignment="1" applyProtection="1">
      <alignment vertical="center"/>
    </xf>
    <xf numFmtId="0" fontId="68" fillId="0" borderId="0" xfId="0" applyFont="1"/>
    <xf numFmtId="0" fontId="0" fillId="6" borderId="0" xfId="0" applyFill="1"/>
    <xf numFmtId="0" fontId="2" fillId="11" borderId="0" xfId="0" applyFont="1" applyFill="1"/>
    <xf numFmtId="0" fontId="0" fillId="11" borderId="0" xfId="0" applyFill="1"/>
    <xf numFmtId="0" fontId="9" fillId="0" borderId="0" xfId="0" applyFont="1" applyAlignment="1">
      <alignment horizontal="left"/>
    </xf>
    <xf numFmtId="0" fontId="9" fillId="6" borderId="0" xfId="0" applyFont="1" applyFill="1" applyAlignment="1">
      <alignment horizontal="center"/>
    </xf>
    <xf numFmtId="0" fontId="0" fillId="6" borderId="0" xfId="0" applyFill="1" applyAlignment="1">
      <alignment horizontal="left" indent="1"/>
    </xf>
    <xf numFmtId="0" fontId="9" fillId="21" borderId="0" xfId="0" applyFont="1" applyFill="1"/>
    <xf numFmtId="0" fontId="47" fillId="6" borderId="0" xfId="0" applyFont="1" applyFill="1"/>
    <xf numFmtId="0" fontId="9" fillId="19" borderId="0" xfId="0" applyFont="1" applyFill="1" applyAlignment="1">
      <alignment horizontal="center"/>
    </xf>
    <xf numFmtId="0" fontId="9" fillId="19" borderId="0" xfId="0" applyFont="1" applyFill="1"/>
    <xf numFmtId="0" fontId="9" fillId="19" borderId="0" xfId="0" quotePrefix="1" applyFont="1" applyFill="1" applyAlignment="1">
      <alignment horizontal="center"/>
    </xf>
    <xf numFmtId="0" fontId="0" fillId="19" borderId="0" xfId="0" applyFill="1"/>
    <xf numFmtId="0" fontId="2" fillId="16" borderId="0" xfId="0" applyFont="1" applyFill="1"/>
    <xf numFmtId="0" fontId="46" fillId="0" borderId="0" xfId="0" applyFont="1" applyAlignment="1">
      <alignment horizontal="center"/>
    </xf>
    <xf numFmtId="0" fontId="3" fillId="0" borderId="0" xfId="0" applyFont="1" applyAlignment="1">
      <alignment horizontal="left" indent="1"/>
    </xf>
    <xf numFmtId="177" fontId="0" fillId="0" borderId="0" xfId="19" applyNumberFormat="1" applyFont="1" applyAlignment="1" applyProtection="1">
      <alignment horizontal="left"/>
    </xf>
    <xf numFmtId="0" fontId="31" fillId="0" borderId="0" xfId="0" applyFont="1" applyAlignment="1">
      <alignment horizontal="right"/>
    </xf>
    <xf numFmtId="0" fontId="2" fillId="0" borderId="0" xfId="0" applyFont="1" applyAlignment="1">
      <alignment horizontal="left" vertical="center" indent="1"/>
    </xf>
    <xf numFmtId="0" fontId="9" fillId="16" borderId="0" xfId="0" quotePrefix="1" applyFont="1" applyFill="1" applyAlignment="1">
      <alignment horizontal="center"/>
    </xf>
    <xf numFmtId="0" fontId="9" fillId="16" borderId="0" xfId="0" applyFont="1" applyFill="1"/>
    <xf numFmtId="0" fontId="0" fillId="0" borderId="0" xfId="0" applyAlignment="1" applyProtection="1">
      <alignment vertical="center"/>
      <protection hidden="1"/>
    </xf>
    <xf numFmtId="0" fontId="2" fillId="0" borderId="0" xfId="0" applyFont="1" applyAlignment="1" applyProtection="1">
      <alignment horizontal="center" vertical="center"/>
      <protection hidden="1"/>
    </xf>
    <xf numFmtId="0" fontId="2" fillId="25" borderId="0" xfId="0" applyFont="1" applyFill="1" applyAlignment="1" applyProtection="1">
      <alignment horizontal="center" vertical="center"/>
      <protection hidden="1"/>
    </xf>
    <xf numFmtId="0" fontId="2" fillId="12" borderId="0" xfId="0" applyFont="1" applyFill="1" applyAlignment="1" applyProtection="1">
      <alignment horizontal="center" vertical="center"/>
      <protection hidden="1"/>
    </xf>
    <xf numFmtId="0" fontId="2" fillId="18" borderId="0" xfId="0" applyFont="1" applyFill="1" applyAlignment="1" applyProtection="1">
      <alignment horizontal="center" vertical="center"/>
      <protection hidden="1"/>
    </xf>
    <xf numFmtId="0" fontId="0" fillId="25" borderId="0" xfId="0" applyFill="1" applyAlignment="1" applyProtection="1">
      <alignment vertical="center"/>
      <protection hidden="1"/>
    </xf>
    <xf numFmtId="0" fontId="2" fillId="25" borderId="0" xfId="0" applyFont="1" applyFill="1" applyAlignment="1" applyProtection="1">
      <alignment vertical="center"/>
      <protection hidden="1"/>
    </xf>
    <xf numFmtId="0" fontId="0" fillId="12" borderId="0" xfId="0" applyFill="1" applyAlignment="1" applyProtection="1">
      <alignment vertical="center"/>
      <protection hidden="1"/>
    </xf>
    <xf numFmtId="0" fontId="0" fillId="18" borderId="0" xfId="42" applyFont="1" applyFill="1" applyAlignment="1" applyProtection="1">
      <alignment vertical="center"/>
      <protection hidden="1"/>
    </xf>
    <xf numFmtId="0" fontId="47" fillId="25" borderId="0" xfId="0" applyFont="1" applyFill="1" applyAlignment="1" applyProtection="1">
      <alignment horizontal="center" vertical="center"/>
      <protection hidden="1"/>
    </xf>
    <xf numFmtId="0" fontId="47" fillId="12" borderId="0" xfId="0" applyFont="1" applyFill="1" applyAlignment="1" applyProtection="1">
      <alignment vertical="center"/>
      <protection hidden="1"/>
    </xf>
    <xf numFmtId="0" fontId="0" fillId="0" borderId="0" xfId="0" applyAlignment="1" applyProtection="1">
      <alignment vertical="center" wrapText="1"/>
      <protection hidden="1"/>
    </xf>
    <xf numFmtId="0" fontId="0" fillId="0" borderId="0" xfId="42" applyFont="1" applyAlignment="1" applyProtection="1">
      <alignment vertical="center"/>
      <protection hidden="1"/>
    </xf>
    <xf numFmtId="0" fontId="0" fillId="0" borderId="7" xfId="0" applyBorder="1" applyAlignment="1">
      <alignment wrapText="1"/>
    </xf>
    <xf numFmtId="2" fontId="0" fillId="0" borderId="0" xfId="0" applyNumberFormat="1" applyAlignment="1">
      <alignment vertical="center"/>
    </xf>
    <xf numFmtId="44" fontId="0" fillId="0" borderId="0" xfId="0" applyNumberFormat="1" applyAlignment="1">
      <alignment vertical="center"/>
    </xf>
    <xf numFmtId="0" fontId="86" fillId="0" borderId="0" xfId="0" applyFont="1"/>
    <xf numFmtId="43" fontId="2" fillId="0" borderId="0" xfId="1" applyFont="1" applyAlignment="1">
      <alignment vertical="center"/>
    </xf>
    <xf numFmtId="0" fontId="87" fillId="0" borderId="0" xfId="0" applyFont="1"/>
    <xf numFmtId="0" fontId="90" fillId="0" borderId="0" xfId="0" applyFont="1"/>
    <xf numFmtId="0" fontId="3" fillId="0" borderId="1" xfId="45" applyFont="1" applyBorder="1" applyAlignment="1">
      <alignment horizontal="center"/>
    </xf>
    <xf numFmtId="0" fontId="3" fillId="0" borderId="0" xfId="45" applyFont="1" applyAlignment="1">
      <alignment horizontal="center"/>
    </xf>
    <xf numFmtId="0" fontId="3" fillId="0" borderId="1" xfId="45" applyFont="1" applyBorder="1" applyAlignment="1">
      <alignment horizontal="center" wrapText="1"/>
    </xf>
    <xf numFmtId="44" fontId="47" fillId="0" borderId="0" xfId="19" applyFont="1" applyAlignment="1" applyProtection="1">
      <alignment vertical="center"/>
    </xf>
    <xf numFmtId="44" fontId="47" fillId="0" borderId="0" xfId="19" applyFont="1" applyProtection="1"/>
    <xf numFmtId="0" fontId="2" fillId="3" borderId="0" xfId="0" quotePrefix="1" applyFont="1" applyFill="1" applyAlignment="1" applyProtection="1">
      <alignment horizontal="left" wrapText="1"/>
      <protection locked="0"/>
    </xf>
    <xf numFmtId="0" fontId="97" fillId="24" borderId="0" xfId="0" applyFont="1" applyFill="1"/>
    <xf numFmtId="0" fontId="0" fillId="24" borderId="0" xfId="0" applyFill="1"/>
    <xf numFmtId="0" fontId="3" fillId="8" borderId="9" xfId="0" applyFont="1" applyFill="1" applyBorder="1" applyAlignment="1">
      <alignment vertical="center"/>
    </xf>
    <xf numFmtId="0" fontId="2" fillId="23" borderId="11" xfId="0" applyFont="1" applyFill="1" applyBorder="1" applyAlignment="1">
      <alignment vertical="center" wrapText="1"/>
    </xf>
    <xf numFmtId="0" fontId="2" fillId="23" borderId="7" xfId="0" applyFont="1" applyFill="1" applyBorder="1" applyAlignment="1">
      <alignment vertical="center" wrapText="1"/>
    </xf>
    <xf numFmtId="44" fontId="92" fillId="0" borderId="0" xfId="19" applyFont="1" applyAlignment="1" applyProtection="1">
      <alignment horizontal="center"/>
      <protection hidden="1"/>
    </xf>
    <xf numFmtId="0" fontId="48" fillId="7" borderId="1" xfId="0" applyFont="1" applyFill="1" applyBorder="1" applyAlignment="1" applyProtection="1">
      <alignment horizontal="center"/>
      <protection hidden="1"/>
    </xf>
    <xf numFmtId="0" fontId="0" fillId="0" borderId="0" xfId="0" applyAlignment="1" applyProtection="1">
      <alignment horizontal="center"/>
      <protection hidden="1"/>
    </xf>
    <xf numFmtId="0" fontId="51" fillId="0" borderId="0" xfId="0" applyFont="1" applyAlignment="1" applyProtection="1">
      <alignment horizontal="center"/>
      <protection hidden="1"/>
    </xf>
    <xf numFmtId="0" fontId="47" fillId="0" borderId="0" xfId="0" applyFont="1" applyProtection="1">
      <protection hidden="1"/>
    </xf>
    <xf numFmtId="0" fontId="15" fillId="0" borderId="0" xfId="0" applyFont="1" applyAlignment="1">
      <alignment horizontal="center"/>
    </xf>
    <xf numFmtId="0" fontId="2" fillId="0" borderId="0" xfId="0" applyFont="1" applyAlignment="1">
      <alignment horizontal="center"/>
    </xf>
    <xf numFmtId="0" fontId="61" fillId="0" borderId="0" xfId="20" applyFont="1" applyAlignment="1">
      <alignment horizontal="center"/>
    </xf>
    <xf numFmtId="174" fontId="63" fillId="0" borderId="0" xfId="21" applyNumberFormat="1" applyFont="1" applyAlignment="1" applyProtection="1">
      <alignment horizontal="center"/>
    </xf>
    <xf numFmtId="0" fontId="15" fillId="0" borderId="1" xfId="0" applyFont="1" applyBorder="1" applyAlignment="1" applyProtection="1">
      <alignment horizontal="center" vertical="center"/>
      <protection locked="0"/>
    </xf>
    <xf numFmtId="0" fontId="9" fillId="0" borderId="0" xfId="0" applyFont="1" applyAlignment="1">
      <alignment horizontal="center" wrapText="1"/>
    </xf>
    <xf numFmtId="0" fontId="9" fillId="0" borderId="1" xfId="0" applyFont="1" applyBorder="1" applyAlignment="1">
      <alignment horizontal="center" wrapText="1"/>
    </xf>
    <xf numFmtId="0" fontId="2"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center"/>
    </xf>
    <xf numFmtId="0" fontId="2" fillId="12" borderId="19" xfId="0" quotePrefix="1" applyFont="1" applyFill="1" applyBorder="1" applyAlignment="1">
      <alignment horizontal="left" vertical="center" wrapText="1"/>
    </xf>
    <xf numFmtId="0" fontId="2" fillId="12" borderId="20" xfId="0" quotePrefix="1" applyFont="1" applyFill="1" applyBorder="1" applyAlignment="1">
      <alignment horizontal="left" vertical="center" wrapText="1"/>
    </xf>
    <xf numFmtId="0" fontId="2" fillId="12" borderId="6" xfId="0" quotePrefix="1" applyFont="1" applyFill="1" applyBorder="1" applyAlignment="1">
      <alignment horizontal="left" vertical="center" wrapText="1"/>
    </xf>
    <xf numFmtId="0" fontId="2" fillId="19" borderId="10" xfId="0" applyFont="1" applyFill="1" applyBorder="1" applyAlignment="1">
      <alignment horizontal="center" vertical="center"/>
    </xf>
    <xf numFmtId="0" fontId="2" fillId="23" borderId="21" xfId="0" applyFont="1" applyFill="1" applyBorder="1" applyAlignment="1">
      <alignment horizontal="center" vertical="center"/>
    </xf>
    <xf numFmtId="0" fontId="2" fillId="23" borderId="11" xfId="0" applyFont="1" applyFill="1" applyBorder="1" applyAlignment="1">
      <alignment horizontal="center" vertical="center"/>
    </xf>
    <xf numFmtId="0" fontId="3" fillId="18" borderId="8" xfId="0" applyFont="1" applyFill="1" applyBorder="1" applyAlignment="1">
      <alignment horizontal="center" vertical="center"/>
    </xf>
    <xf numFmtId="0" fontId="3" fillId="18" borderId="4" xfId="0" applyFont="1" applyFill="1" applyBorder="1" applyAlignment="1">
      <alignment horizontal="center" vertical="center"/>
    </xf>
    <xf numFmtId="0" fontId="3" fillId="22" borderId="22" xfId="0" applyFont="1" applyFill="1" applyBorder="1" applyAlignment="1">
      <alignment horizontal="center" vertical="center"/>
    </xf>
    <xf numFmtId="0" fontId="3" fillId="22" borderId="4" xfId="0" applyFont="1" applyFill="1" applyBorder="1" applyAlignment="1">
      <alignment horizontal="center" vertical="center"/>
    </xf>
    <xf numFmtId="0" fontId="3" fillId="22" borderId="23" xfId="0" applyFont="1" applyFill="1" applyBorder="1" applyAlignment="1">
      <alignment horizontal="center" vertical="center"/>
    </xf>
    <xf numFmtId="44" fontId="0" fillId="16" borderId="4" xfId="19" applyFont="1" applyFill="1" applyBorder="1" applyAlignment="1">
      <alignment horizontal="center" vertical="center" wrapText="1"/>
    </xf>
    <xf numFmtId="44" fontId="0" fillId="16" borderId="24" xfId="19" applyFont="1" applyFill="1" applyBorder="1" applyAlignment="1">
      <alignment horizontal="center" vertical="center" wrapText="1"/>
    </xf>
    <xf numFmtId="43" fontId="85" fillId="24" borderId="4" xfId="1" applyFont="1" applyFill="1" applyBorder="1" applyAlignment="1" applyProtection="1">
      <alignment horizontal="center" vertical="center"/>
    </xf>
    <xf numFmtId="43" fontId="85" fillId="24" borderId="25" xfId="1" applyFont="1" applyFill="1" applyBorder="1" applyAlignment="1" applyProtection="1">
      <alignment horizontal="center" vertical="center"/>
    </xf>
    <xf numFmtId="0" fontId="2" fillId="12" borderId="12" xfId="0" quotePrefix="1" applyFont="1" applyFill="1" applyBorder="1" applyAlignment="1">
      <alignment horizontal="left" vertical="center" wrapText="1"/>
    </xf>
    <xf numFmtId="0" fontId="2" fillId="12" borderId="0" xfId="0" quotePrefix="1" applyFont="1" applyFill="1" applyAlignment="1">
      <alignment horizontal="left" vertical="center" wrapText="1"/>
    </xf>
    <xf numFmtId="0" fontId="2" fillId="12" borderId="13" xfId="0" quotePrefix="1" applyFont="1" applyFill="1" applyBorder="1" applyAlignment="1">
      <alignment horizontal="left" vertical="center" wrapText="1"/>
    </xf>
    <xf numFmtId="44" fontId="0" fillId="16" borderId="4" xfId="19" applyFont="1" applyFill="1" applyBorder="1" applyAlignment="1" applyProtection="1">
      <alignment horizontal="center" vertical="center" wrapText="1"/>
    </xf>
    <xf numFmtId="44" fontId="0" fillId="16" borderId="24" xfId="19" applyFont="1" applyFill="1" applyBorder="1" applyAlignment="1" applyProtection="1">
      <alignment horizontal="center" vertical="center" wrapText="1"/>
    </xf>
    <xf numFmtId="0" fontId="96" fillId="7" borderId="19" xfId="0" applyFont="1" applyFill="1" applyBorder="1" applyAlignment="1">
      <alignment horizontal="center" vertical="center"/>
    </xf>
    <xf numFmtId="0" fontId="96" fillId="7" borderId="20" xfId="0" applyFont="1" applyFill="1" applyBorder="1" applyAlignment="1">
      <alignment horizontal="center" vertical="center"/>
    </xf>
    <xf numFmtId="0" fontId="96" fillId="7" borderId="6" xfId="0" applyFont="1" applyFill="1" applyBorder="1" applyAlignment="1">
      <alignment horizontal="center" vertical="center"/>
    </xf>
    <xf numFmtId="0" fontId="2" fillId="23" borderId="21" xfId="0" applyFont="1" applyFill="1" applyBorder="1" applyAlignment="1">
      <alignment horizontal="center" vertical="center" wrapText="1"/>
    </xf>
    <xf numFmtId="0" fontId="2" fillId="23" borderId="11" xfId="0" applyFont="1" applyFill="1" applyBorder="1" applyAlignment="1">
      <alignment horizontal="center" vertical="center" wrapText="1"/>
    </xf>
    <xf numFmtId="165" fontId="49" fillId="0" borderId="0" xfId="0" applyNumberFormat="1" applyFont="1" applyAlignment="1">
      <alignment horizontal="center"/>
    </xf>
    <xf numFmtId="0" fontId="0" fillId="6" borderId="0" xfId="0" applyFill="1"/>
    <xf numFmtId="0" fontId="0" fillId="6" borderId="0" xfId="0" applyFill="1" applyAlignment="1">
      <alignment horizontal="center"/>
    </xf>
    <xf numFmtId="0" fontId="3" fillId="16" borderId="19" xfId="0" applyFont="1" applyFill="1" applyBorder="1" applyAlignment="1">
      <alignment horizontal="center"/>
    </xf>
    <xf numFmtId="0" fontId="3" fillId="16" borderId="20" xfId="0" applyFont="1" applyFill="1" applyBorder="1" applyAlignment="1">
      <alignment horizontal="center"/>
    </xf>
    <xf numFmtId="0" fontId="3" fillId="16" borderId="6" xfId="0" applyFont="1" applyFill="1" applyBorder="1" applyAlignment="1">
      <alignment horizontal="center"/>
    </xf>
  </cellXfs>
  <cellStyles count="50">
    <cellStyle name="Comma" xfId="1" builtinId="3"/>
    <cellStyle name="Comma 2" xfId="31" xr:uid="{E67B16D0-57DF-4E7E-868B-5D51AF8EE8D6}"/>
    <cellStyle name="Comma 2 2" xfId="32" xr:uid="{6D33978A-C471-4361-AF60-4EA0C77E678A}"/>
    <cellStyle name="Currency" xfId="19" builtinId="4"/>
    <cellStyle name="Currency 2" xfId="33" xr:uid="{6788BA29-6520-47C8-B0B8-F9872A03D649}"/>
    <cellStyle name="Exhibit No." xfId="2" xr:uid="{00000000-0005-0000-0000-000001000000}"/>
    <cellStyle name="Exhibit No. 2" xfId="23" xr:uid="{BF8C2F79-8752-40F7-BDDF-F4DE6F0485A2}"/>
    <cellStyle name="HeadStateofNC" xfId="3" xr:uid="{00000000-0005-0000-0000-000002000000}"/>
    <cellStyle name="HeadTitles" xfId="4" xr:uid="{00000000-0005-0000-0000-000003000000}"/>
    <cellStyle name="HeadYE_Date" xfId="5" xr:uid="{00000000-0005-0000-0000-000004000000}"/>
    <cellStyle name="Hyperlink" xfId="21" builtinId="8"/>
    <cellStyle name="Hyperlink 2" xfId="34" xr:uid="{147B15EC-75DE-44E5-BDA4-0547ED8AB35E}"/>
    <cellStyle name="Normal" xfId="0" builtinId="0"/>
    <cellStyle name="Normal 2" xfId="6" xr:uid="{00000000-0005-0000-0000-000006000000}"/>
    <cellStyle name="Normal 2 2" xfId="24" xr:uid="{F90864D7-F56F-4073-B77F-055AD0CB8677}"/>
    <cellStyle name="Normal 2 5" xfId="35" xr:uid="{690DC7DD-9428-4EFD-A5D3-D8E201E84BB6}"/>
    <cellStyle name="Normal 2 5 2" xfId="36" xr:uid="{BF8AE0AB-6B7B-4397-9DC2-7E5BFC1822B2}"/>
    <cellStyle name="Normal 21 2" xfId="37" xr:uid="{D7468FF5-3260-4172-A6E4-C71D2BE8AC96}"/>
    <cellStyle name="Normal 3" xfId="7" xr:uid="{00000000-0005-0000-0000-000007000000}"/>
    <cellStyle name="Normal 31" xfId="38" xr:uid="{01562886-B5BF-4835-A3C6-AE5E901A2169}"/>
    <cellStyle name="Normal 39 2" xfId="39" xr:uid="{85B05F96-4664-4840-BC4F-D9652377AA46}"/>
    <cellStyle name="Normal 4" xfId="25" xr:uid="{76F91116-5042-48E5-AC6F-2BECF626CE8D}"/>
    <cellStyle name="Normal 4 2" xfId="40" xr:uid="{EF11CDA9-2D10-45D8-BFC4-B2CFF596E7C0}"/>
    <cellStyle name="Normal 4 3" xfId="47" xr:uid="{8B19A83F-22FC-4E32-A415-488C7A87CD84}"/>
    <cellStyle name="Normal 42" xfId="41" xr:uid="{2B976D9A-9E00-41DC-B32C-343A4DE6A993}"/>
    <cellStyle name="Normal 5" xfId="26" xr:uid="{9B533839-DE61-47AD-9A69-60B01297AB59}"/>
    <cellStyle name="Normal 5 2" xfId="48" xr:uid="{968F7719-852A-43BA-8866-24487CD1F07D}"/>
    <cellStyle name="Normal 6" xfId="49" xr:uid="{F74CA4E9-6DAB-4A07-8BBC-EA0F318949DF}"/>
    <cellStyle name="Normal_2005Collproforma" xfId="8" xr:uid="{00000000-0005-0000-0000-000008000000}"/>
    <cellStyle name="Normal_a3p04" xfId="22" xr:uid="{7AEEA345-6193-48B5-A76A-6F3F6545BE35}"/>
    <cellStyle name="Normal_a3p08" xfId="46" xr:uid="{5D48423C-CC36-45B5-908E-3706B992AE2B}"/>
    <cellStyle name="Normal_a7p01" xfId="44" xr:uid="{F4BA0B6A-1DD8-44AE-8914-B83A6712EBD8}"/>
    <cellStyle name="Normal_a7p02" xfId="43" xr:uid="{E4A8F067-BD9F-4A07-B2BE-7DE919DA9F97}"/>
    <cellStyle name="Normal_a7p03" xfId="42" xr:uid="{0BF91504-316A-470A-9A0C-2EF47E67EC16}"/>
    <cellStyle name="Normal_a7p12" xfId="45" xr:uid="{4A55F37A-A84A-4B7A-8E10-AEC68920FB5E}"/>
    <cellStyle name="Normal_UnivExcl" xfId="20" xr:uid="{E98B5035-D4D4-44A1-B1B5-15EEFC3F3A62}"/>
    <cellStyle name="Number$ -" xfId="9" xr:uid="{00000000-0005-0000-0000-000009000000}"/>
    <cellStyle name="Number$ - 2" xfId="27" xr:uid="{FFD6F856-809D-4797-BDAC-9EC43A50F9AB}"/>
    <cellStyle name="Number-no $ -" xfId="10" xr:uid="{00000000-0005-0000-0000-00000A000000}"/>
    <cellStyle name="Number-no $ - 2" xfId="28" xr:uid="{24D97F03-5427-4C4B-A506-434AAE1E2996}"/>
    <cellStyle name="NumberTotal$ -" xfId="11" xr:uid="{00000000-0005-0000-0000-00000B000000}"/>
    <cellStyle name="NumberTotal$ - 2" xfId="29" xr:uid="{05310F0B-FF79-493D-901B-F5843B532597}"/>
    <cellStyle name="NumberTotal-no $ -" xfId="12" xr:uid="{00000000-0005-0000-0000-00000C000000}"/>
    <cellStyle name="NumberTotal-no $ - 2" xfId="30" xr:uid="{5BE08BA5-BAFA-463B-9618-F8825A75936E}"/>
    <cellStyle name="NumNo$" xfId="13" xr:uid="{00000000-0005-0000-0000-00000D000000}"/>
    <cellStyle name="NumNo$ 2" xfId="14" xr:uid="{00000000-0005-0000-0000-00000E000000}"/>
    <cellStyle name="NumTotD" xfId="15" xr:uid="{00000000-0005-0000-0000-00000F000000}"/>
    <cellStyle name="NumTotD 2" xfId="16" xr:uid="{00000000-0005-0000-0000-000010000000}"/>
    <cellStyle name="NumTotNo$" xfId="17" xr:uid="{00000000-0005-0000-0000-000011000000}"/>
    <cellStyle name="NumTotNo$ 2" xfId="18" xr:uid="{00000000-0005-0000-0000-000012000000}"/>
  </cellStyles>
  <dxfs count="79">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ill>
        <patternFill>
          <bgColor theme="5" tint="0.59996337778862885"/>
        </patternFill>
      </fill>
    </dxf>
    <dxf>
      <font>
        <color rgb="FFA17D47"/>
      </font>
      <fill>
        <patternFill>
          <bgColor rgb="FFFDE39B"/>
        </patternFill>
      </fill>
    </dxf>
    <dxf>
      <font>
        <color theme="5" tint="-0.24994659260841701"/>
      </font>
      <fill>
        <patternFill>
          <bgColor theme="5" tint="0.59996337778862885"/>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fgColor theme="9" tint="0.39994506668294322"/>
          <bgColor rgb="FFFFC000"/>
        </patternFill>
      </fill>
    </dxf>
    <dxf>
      <fill>
        <patternFill>
          <bgColor rgb="FFFFCC99"/>
        </patternFill>
      </fill>
    </dxf>
    <dxf>
      <fill>
        <patternFill>
          <bgColor theme="5" tint="0.59996337778862885"/>
        </patternFill>
      </fill>
    </dxf>
    <dxf>
      <fill>
        <patternFill>
          <bgColor theme="5" tint="0.59996337778862885"/>
        </patternFill>
      </fill>
    </dxf>
    <dxf>
      <font>
        <color rgb="FFA17D47"/>
      </font>
      <fill>
        <patternFill>
          <bgColor rgb="FFFDE39B"/>
        </patternFill>
      </fill>
    </dxf>
    <dxf>
      <font>
        <color theme="5" tint="-0.24994659260841701"/>
      </font>
      <fill>
        <patternFill>
          <bgColor theme="5" tint="0.59996337778862885"/>
        </patternFill>
      </fill>
    </dxf>
    <dxf>
      <font>
        <color theme="5" tint="-0.24994659260841701"/>
      </font>
      <fill>
        <patternFill>
          <bgColor rgb="FFE3BEBB"/>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b/>
        <i val="0"/>
        <condense val="0"/>
        <extend val="0"/>
        <color indexed="10"/>
      </font>
    </dxf>
    <dxf>
      <font>
        <b/>
        <i val="0"/>
        <condense val="0"/>
        <extend val="0"/>
        <color indexed="10"/>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i val="0"/>
        <condense val="0"/>
        <extend val="0"/>
        <color indexed="10"/>
      </font>
    </dxf>
    <dxf>
      <font>
        <b/>
        <i val="0"/>
        <condense val="0"/>
        <extend val="0"/>
        <color indexed="10"/>
      </font>
    </dxf>
    <dxf>
      <font>
        <b/>
        <i val="0"/>
        <color rgb="FFFF0000"/>
      </font>
    </dxf>
    <dxf>
      <font>
        <b/>
        <i val="0"/>
        <color rgb="FFFF0000"/>
      </font>
    </dxf>
    <dxf>
      <font>
        <b/>
        <i val="0"/>
        <color rgb="FFFF0000"/>
      </font>
    </dxf>
    <dxf>
      <font>
        <b/>
        <i val="0"/>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rgb="FFFF0000"/>
      </font>
    </dxf>
    <dxf>
      <font>
        <b/>
        <i val="0"/>
        <color rgb="FFFF0000"/>
      </font>
    </dxf>
    <dxf>
      <font>
        <b/>
        <i val="0"/>
        <color rgb="FFFF0000"/>
      </font>
    </dxf>
    <dxf>
      <font>
        <b/>
        <i val="0"/>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lor rgb="FF9C0006"/>
      </font>
      <fill>
        <patternFill>
          <bgColor rgb="FFFFC7CE"/>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BEBB"/>
      <color rgb="FFA17D47"/>
      <color rgb="FFC07F28"/>
      <color rgb="FFDBA50D"/>
      <color rgb="FFCF9B19"/>
      <color rgb="FFFDE39B"/>
      <color rgb="FFFFC7CE"/>
      <color rgb="FFFFCC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1314450</xdr:colOff>
      <xdr:row>16</xdr:row>
      <xdr:rowOff>85725</xdr:rowOff>
    </xdr:from>
    <xdr:to>
      <xdr:col>2</xdr:col>
      <xdr:colOff>1838325</xdr:colOff>
      <xdr:row>16</xdr:row>
      <xdr:rowOff>85725</xdr:rowOff>
    </xdr:to>
    <xdr:sp macro="" textlink="">
      <xdr:nvSpPr>
        <xdr:cNvPr id="14670" name="Line 3">
          <a:extLst>
            <a:ext uri="{FF2B5EF4-FFF2-40B4-BE49-F238E27FC236}">
              <a16:creationId xmlns:a16="http://schemas.microsoft.com/office/drawing/2014/main" id="{00000000-0008-0000-0100-00004E390000}"/>
            </a:ext>
          </a:extLst>
        </xdr:cNvPr>
        <xdr:cNvSpPr>
          <a:spLocks noChangeShapeType="1"/>
        </xdr:cNvSpPr>
      </xdr:nvSpPr>
      <xdr:spPr bwMode="auto">
        <a:xfrm>
          <a:off x="2343150" y="21812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18</xdr:row>
      <xdr:rowOff>85725</xdr:rowOff>
    </xdr:from>
    <xdr:to>
      <xdr:col>2</xdr:col>
      <xdr:colOff>1838325</xdr:colOff>
      <xdr:row>18</xdr:row>
      <xdr:rowOff>85725</xdr:rowOff>
    </xdr:to>
    <xdr:sp macro="" textlink="">
      <xdr:nvSpPr>
        <xdr:cNvPr id="14671" name="Line 4">
          <a:extLst>
            <a:ext uri="{FF2B5EF4-FFF2-40B4-BE49-F238E27FC236}">
              <a16:creationId xmlns:a16="http://schemas.microsoft.com/office/drawing/2014/main" id="{00000000-0008-0000-0100-00004F390000}"/>
            </a:ext>
          </a:extLst>
        </xdr:cNvPr>
        <xdr:cNvSpPr>
          <a:spLocks noChangeShapeType="1"/>
        </xdr:cNvSpPr>
      </xdr:nvSpPr>
      <xdr:spPr bwMode="auto">
        <a:xfrm>
          <a:off x="2343150" y="24003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20</xdr:row>
      <xdr:rowOff>85725</xdr:rowOff>
    </xdr:from>
    <xdr:to>
      <xdr:col>2</xdr:col>
      <xdr:colOff>1838325</xdr:colOff>
      <xdr:row>20</xdr:row>
      <xdr:rowOff>85725</xdr:rowOff>
    </xdr:to>
    <xdr:sp macro="" textlink="">
      <xdr:nvSpPr>
        <xdr:cNvPr id="14672" name="Line 5">
          <a:extLst>
            <a:ext uri="{FF2B5EF4-FFF2-40B4-BE49-F238E27FC236}">
              <a16:creationId xmlns:a16="http://schemas.microsoft.com/office/drawing/2014/main" id="{00000000-0008-0000-0100-000050390000}"/>
            </a:ext>
          </a:extLst>
        </xdr:cNvPr>
        <xdr:cNvSpPr>
          <a:spLocks noChangeShapeType="1"/>
        </xdr:cNvSpPr>
      </xdr:nvSpPr>
      <xdr:spPr bwMode="auto">
        <a:xfrm>
          <a:off x="2343150" y="26193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22</xdr:row>
      <xdr:rowOff>85725</xdr:rowOff>
    </xdr:from>
    <xdr:to>
      <xdr:col>2</xdr:col>
      <xdr:colOff>1838325</xdr:colOff>
      <xdr:row>22</xdr:row>
      <xdr:rowOff>85725</xdr:rowOff>
    </xdr:to>
    <xdr:sp macro="" textlink="">
      <xdr:nvSpPr>
        <xdr:cNvPr id="14673" name="Line 6">
          <a:extLst>
            <a:ext uri="{FF2B5EF4-FFF2-40B4-BE49-F238E27FC236}">
              <a16:creationId xmlns:a16="http://schemas.microsoft.com/office/drawing/2014/main" id="{00000000-0008-0000-0100-000051390000}"/>
            </a:ext>
          </a:extLst>
        </xdr:cNvPr>
        <xdr:cNvSpPr>
          <a:spLocks noChangeShapeType="1"/>
        </xdr:cNvSpPr>
      </xdr:nvSpPr>
      <xdr:spPr bwMode="auto">
        <a:xfrm>
          <a:off x="2343150" y="28384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24</xdr:row>
      <xdr:rowOff>85725</xdr:rowOff>
    </xdr:from>
    <xdr:to>
      <xdr:col>2</xdr:col>
      <xdr:colOff>1838325</xdr:colOff>
      <xdr:row>24</xdr:row>
      <xdr:rowOff>85725</xdr:rowOff>
    </xdr:to>
    <xdr:sp macro="" textlink="">
      <xdr:nvSpPr>
        <xdr:cNvPr id="14674" name="Line 7">
          <a:extLst>
            <a:ext uri="{FF2B5EF4-FFF2-40B4-BE49-F238E27FC236}">
              <a16:creationId xmlns:a16="http://schemas.microsoft.com/office/drawing/2014/main" id="{00000000-0008-0000-0100-000052390000}"/>
            </a:ext>
          </a:extLst>
        </xdr:cNvPr>
        <xdr:cNvSpPr>
          <a:spLocks noChangeShapeType="1"/>
        </xdr:cNvSpPr>
      </xdr:nvSpPr>
      <xdr:spPr bwMode="auto">
        <a:xfrm>
          <a:off x="2343150" y="30575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6</xdr:row>
      <xdr:rowOff>85725</xdr:rowOff>
    </xdr:from>
    <xdr:to>
      <xdr:col>2</xdr:col>
      <xdr:colOff>1838325</xdr:colOff>
      <xdr:row>6</xdr:row>
      <xdr:rowOff>85725</xdr:rowOff>
    </xdr:to>
    <xdr:sp macro="" textlink="">
      <xdr:nvSpPr>
        <xdr:cNvPr id="14675" name="Line 9">
          <a:extLst>
            <a:ext uri="{FF2B5EF4-FFF2-40B4-BE49-F238E27FC236}">
              <a16:creationId xmlns:a16="http://schemas.microsoft.com/office/drawing/2014/main" id="{00000000-0008-0000-0100-000053390000}"/>
            </a:ext>
          </a:extLst>
        </xdr:cNvPr>
        <xdr:cNvSpPr>
          <a:spLocks noChangeShapeType="1"/>
        </xdr:cNvSpPr>
      </xdr:nvSpPr>
      <xdr:spPr bwMode="auto">
        <a:xfrm>
          <a:off x="2343150" y="9429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76" name="Line 10">
          <a:extLst>
            <a:ext uri="{FF2B5EF4-FFF2-40B4-BE49-F238E27FC236}">
              <a16:creationId xmlns:a16="http://schemas.microsoft.com/office/drawing/2014/main" id="{00000000-0008-0000-0100-000054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77" name="Line 11">
          <a:extLst>
            <a:ext uri="{FF2B5EF4-FFF2-40B4-BE49-F238E27FC236}">
              <a16:creationId xmlns:a16="http://schemas.microsoft.com/office/drawing/2014/main" id="{00000000-0008-0000-0100-000055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78" name="Line 12">
          <a:extLst>
            <a:ext uri="{FF2B5EF4-FFF2-40B4-BE49-F238E27FC236}">
              <a16:creationId xmlns:a16="http://schemas.microsoft.com/office/drawing/2014/main" id="{00000000-0008-0000-0100-000056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79" name="Line 13">
          <a:extLst>
            <a:ext uri="{FF2B5EF4-FFF2-40B4-BE49-F238E27FC236}">
              <a16:creationId xmlns:a16="http://schemas.microsoft.com/office/drawing/2014/main" id="{00000000-0008-0000-0100-000057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0" name="Line 14">
          <a:extLst>
            <a:ext uri="{FF2B5EF4-FFF2-40B4-BE49-F238E27FC236}">
              <a16:creationId xmlns:a16="http://schemas.microsoft.com/office/drawing/2014/main" id="{00000000-0008-0000-0100-000058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1" name="Line 15">
          <a:extLst>
            <a:ext uri="{FF2B5EF4-FFF2-40B4-BE49-F238E27FC236}">
              <a16:creationId xmlns:a16="http://schemas.microsoft.com/office/drawing/2014/main" id="{00000000-0008-0000-0100-000059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82" name="Line 16">
          <a:extLst>
            <a:ext uri="{FF2B5EF4-FFF2-40B4-BE49-F238E27FC236}">
              <a16:creationId xmlns:a16="http://schemas.microsoft.com/office/drawing/2014/main" id="{00000000-0008-0000-0100-00005A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83" name="Line 17">
          <a:extLst>
            <a:ext uri="{FF2B5EF4-FFF2-40B4-BE49-F238E27FC236}">
              <a16:creationId xmlns:a16="http://schemas.microsoft.com/office/drawing/2014/main" id="{00000000-0008-0000-0100-00005B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84" name="Line 18">
          <a:extLst>
            <a:ext uri="{FF2B5EF4-FFF2-40B4-BE49-F238E27FC236}">
              <a16:creationId xmlns:a16="http://schemas.microsoft.com/office/drawing/2014/main" id="{00000000-0008-0000-0100-00005C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85" name="Line 19">
          <a:extLst>
            <a:ext uri="{FF2B5EF4-FFF2-40B4-BE49-F238E27FC236}">
              <a16:creationId xmlns:a16="http://schemas.microsoft.com/office/drawing/2014/main" id="{00000000-0008-0000-0100-00005D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6" name="Line 20">
          <a:extLst>
            <a:ext uri="{FF2B5EF4-FFF2-40B4-BE49-F238E27FC236}">
              <a16:creationId xmlns:a16="http://schemas.microsoft.com/office/drawing/2014/main" id="{00000000-0008-0000-0100-00005E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7" name="Line 21">
          <a:extLst>
            <a:ext uri="{FF2B5EF4-FFF2-40B4-BE49-F238E27FC236}">
              <a16:creationId xmlns:a16="http://schemas.microsoft.com/office/drawing/2014/main" id="{00000000-0008-0000-0100-00005F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8" name="Line 22">
          <a:extLst>
            <a:ext uri="{FF2B5EF4-FFF2-40B4-BE49-F238E27FC236}">
              <a16:creationId xmlns:a16="http://schemas.microsoft.com/office/drawing/2014/main" id="{00000000-0008-0000-0100-000060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9" name="Line 23">
          <a:extLst>
            <a:ext uri="{FF2B5EF4-FFF2-40B4-BE49-F238E27FC236}">
              <a16:creationId xmlns:a16="http://schemas.microsoft.com/office/drawing/2014/main" id="{00000000-0008-0000-0100-000061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90" name="Line 24">
          <a:extLst>
            <a:ext uri="{FF2B5EF4-FFF2-40B4-BE49-F238E27FC236}">
              <a16:creationId xmlns:a16="http://schemas.microsoft.com/office/drawing/2014/main" id="{00000000-0008-0000-0100-000062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91" name="Line 25">
          <a:extLst>
            <a:ext uri="{FF2B5EF4-FFF2-40B4-BE49-F238E27FC236}">
              <a16:creationId xmlns:a16="http://schemas.microsoft.com/office/drawing/2014/main" id="{00000000-0008-0000-0100-000063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4692" name="Line 26">
          <a:extLst>
            <a:ext uri="{FF2B5EF4-FFF2-40B4-BE49-F238E27FC236}">
              <a16:creationId xmlns:a16="http://schemas.microsoft.com/office/drawing/2014/main" id="{00000000-0008-0000-0100-000064390000}"/>
            </a:ext>
          </a:extLst>
        </xdr:cNvPr>
        <xdr:cNvSpPr>
          <a:spLocks noChangeShapeType="1"/>
        </xdr:cNvSpPr>
      </xdr:nvSpPr>
      <xdr:spPr bwMode="auto">
        <a:xfrm>
          <a:off x="2343150" y="7810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osc-my.sharepoint.com/personal/patcha_kidking_ncosc_gov/Documents/Documents/SASD/FY2025%20ACFR/FY2025/Foundation/2025Univ_Foundations%20-%20Planning%20Conference.xlsx" TargetMode="External"/><Relationship Id="rId1" Type="http://schemas.openxmlformats.org/officeDocument/2006/relationships/externalLinkPath" Target="https://ncosc-my.sharepoint.com/personal/patcha_kidking_ncosc_gov/Documents/Documents/SASD/FY2025%20ACFR/FY2025/Foundation/2025Univ_Foundations%20-%20Planning%20Confer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Use Stmt"/>
      <sheetName val="Info"/>
      <sheetName val="Package Updates"/>
      <sheetName val="Exh A"/>
      <sheetName val="Exh B"/>
      <sheetName val="Adjustments1"/>
      <sheetName val="Adjustments"/>
      <sheetName val="Exh D"/>
      <sheetName val="Exh E"/>
      <sheetName val="Restatements"/>
      <sheetName val="Restatement GASB 101 example"/>
      <sheetName val="Comment"/>
      <sheetName val="Net Assets"/>
      <sheetName val="PriorYrExhD"/>
      <sheetName val="PriorYrExhE"/>
      <sheetName val="PYExhD Data"/>
      <sheetName val="PYExhE Data"/>
      <sheetName val="Notes"/>
      <sheetName val="Unrest and Rest Assets"/>
    </sheetNames>
    <sheetDataSet>
      <sheetData sheetId="0"/>
      <sheetData sheetId="1"/>
      <sheetData sheetId="2"/>
      <sheetData sheetId="3"/>
      <sheetData sheetId="4"/>
      <sheetData sheetId="5"/>
      <sheetData sheetId="6"/>
      <sheetData sheetId="7">
        <row r="1">
          <cell r="K1">
            <v>4000000</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Kidking, Patcha" id="{EE8641C3-51BC-4E49-94E4-94D22833E2B4}" userId="Kidking, Patcha" providerId="None"/>
  <person displayName="Patcha Kidking" id="{EB74FBF6-7850-4633-A40A-4BDCBA4A3313}" userId="S::Patcha.Kidking@ncosc.gov::0db6f355-e063-4309-9c07-978053f7f62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2" dT="2023-03-16T18:31:23.32" personId="{EE8641C3-51BC-4E49-94E4-94D22833E2B4}" id="{86689C96-5053-445A-A6EC-7D4E42AC93AF}">
    <text>This is the same account as "Lease liability" in NFCS package</text>
  </threadedComment>
  <threadedComment ref="B43" dT="2023-03-16T18:51:10.03" personId="{EE8641C3-51BC-4E49-94E4-94D22833E2B4}" id="{EF2CEEE9-B99E-4A89-898F-E5B37D3F4EF1}">
    <text>New account in FY2023 (account number 21410000 and 242000).</text>
  </threadedComment>
</ThreadedComments>
</file>

<file path=xl/threadedComments/threadedComment2.xml><?xml version="1.0" encoding="utf-8"?>
<ThreadedComments xmlns="http://schemas.microsoft.com/office/spreadsheetml/2018/threadedcomments" xmlns:x="http://schemas.openxmlformats.org/spreadsheetml/2006/main">
  <threadedComment ref="B12" dT="2024-12-05T22:36:57.36" personId="{EB74FBF6-7850-4633-A40A-4BDCBA4A3313}" id="{25C66731-5A16-464D-81F0-20BF150CDD9D}">
    <text>Include unrestricted endowment investments</text>
  </threadedComment>
  <threadedComment ref="B15" dT="2024-12-05T22:37:01.07" personId="{EB74FBF6-7850-4633-A40A-4BDCBA4A3313}" id="{85F6A4FB-386D-4B26-8588-78B95FD57ED3}">
    <text>Include unrestricted endowment investments</text>
  </threadedComment>
  <threadedComment ref="B18" dT="2024-12-05T22:37:04.52" personId="{EB74FBF6-7850-4633-A40A-4BDCBA4A3313}" id="{24E540B2-5FDB-40B6-B86D-27D24A54ADCB}">
    <text>Include unrestricted endowment investments</text>
  </threadedComment>
</ThreadedComments>
</file>

<file path=xl/threadedComments/threadedComment3.xml><?xml version="1.0" encoding="utf-8"?>
<ThreadedComments xmlns="http://schemas.microsoft.com/office/spreadsheetml/2018/threadedcomments" xmlns:x="http://schemas.openxmlformats.org/spreadsheetml/2006/main">
  <threadedComment ref="N18" dT="2024-06-25T21:59:53.18" personId="{EB74FBF6-7850-4633-A40A-4BDCBA4A3313}" id="{5F9E99E9-2D6E-412A-8489-87F9D90AF0DD}">
    <text>Check if an account is not chosen at the line with restatement.</text>
  </threadedComment>
  <threadedComment ref="O18" dT="2024-06-25T21:59:39.60" personId="{EB74FBF6-7850-4633-A40A-4BDCBA4A3313}" id="{A4736A38-E5F2-4C1B-A48A-E556B85885B9}">
    <text>Check if an account is chosen at the line without restatement amount.</text>
  </threadedComment>
  <threadedComment ref="P18" dT="2024-06-25T21:35:54.92" personId="{EB74FBF6-7850-4633-A40A-4BDCBA4A3313}" id="{B462DD32-B897-4236-89D9-4614E718CFD4}">
    <text>Check if Restatement reason is not chosen at the line with restatement.</text>
  </threadedComment>
  <threadedComment ref="Q18" dT="2024-06-25T21:36:14.02" personId="{EB74FBF6-7850-4633-A40A-4BDCBA4A3313}" id="{5AB5ACE9-0D1B-473E-BD2F-46A8DC0BD76C}">
    <text>Check if Category is chosen at the line without restatement amount.</text>
  </threadedComment>
  <threadedComment ref="R18" dT="2024-06-25T21:50:33.54" personId="{EB74FBF6-7850-4633-A40A-4BDCBA4A3313}" id="{0E719F0B-32E0-4AB4-998F-7194E8440AD3}">
    <text>Check Explanation column if foundation enters at the correct line.</text>
  </threadedComment>
  <threadedComment ref="N19" dT="2024-06-26T15:25:51.82" personId="{EB74FBF6-7850-4633-A40A-4BDCBA4A3313}" id="{68912E55-D28B-4E2B-A36C-D881946E136B}">
    <text xml:space="preserve">Cell O19 to T22 = Keep as is for now because this doesn't negatively affect the error check at row 46 &amp; 47. May update formula later if needed be. </text>
  </threadedComment>
  <threadedComment ref="L66" dT="2024-05-07T16:29:23.24" personId="{EB74FBF6-7850-4633-A40A-4BDCBA4A3313}" id="{721F4BD8-9D3D-426F-B244-CD7C93609002}">
    <text>IF(SUM(D16:D19)&lt;&gt;0,IF(SUM(D22:D36)=0,"ERROR - Enter the beginning balance of row B, C, D or E","OK"))</text>
  </threadedComment>
</ThreadedComments>
</file>

<file path=xl/threadedComments/threadedComment4.xml><?xml version="1.0" encoding="utf-8"?>
<ThreadedComments xmlns="http://schemas.microsoft.com/office/spreadsheetml/2018/threadedcomments" xmlns:x="http://schemas.openxmlformats.org/spreadsheetml/2006/main">
  <threadedComment ref="N18" dT="2024-06-25T21:59:53.18" personId="{EB74FBF6-7850-4633-A40A-4BDCBA4A3313}" id="{E02BCAFA-76A0-471E-81EE-4CDE6C963AAC}">
    <text>Check if an account is not chosen at the line with restatement.</text>
  </threadedComment>
  <threadedComment ref="O18" dT="2024-06-25T21:59:39.60" personId="{EB74FBF6-7850-4633-A40A-4BDCBA4A3313}" id="{40C10A20-565F-4CB0-B214-2F9E51B3F870}">
    <text>Check if an account is chosen at the line without restatement amount.</text>
  </threadedComment>
  <threadedComment ref="P18" dT="2024-06-25T21:35:54.92" personId="{EB74FBF6-7850-4633-A40A-4BDCBA4A3313}" id="{84823835-BBDB-4132-99AD-74B2B6CB6FA0}">
    <text>Check if Restatement reason is not chosen at the line with restatement.</text>
  </threadedComment>
  <threadedComment ref="Q18" dT="2024-06-25T21:36:14.02" personId="{EB74FBF6-7850-4633-A40A-4BDCBA4A3313}" id="{599230F6-74BE-4D3B-9ACB-2E7C5B137A34}">
    <text>Check if Category is chosen at the line without restatement amount.</text>
  </threadedComment>
  <threadedComment ref="R18" dT="2024-06-25T21:50:33.54" personId="{EB74FBF6-7850-4633-A40A-4BDCBA4A3313}" id="{0F596D78-D25B-48B5-AF77-0E93DF1D1BD1}">
    <text>Check Explanation column if foundation enters at the correct line.</text>
  </threadedComment>
  <threadedComment ref="N19" dT="2024-06-26T15:25:51.82" personId="{EB74FBF6-7850-4633-A40A-4BDCBA4A3313}" id="{94533857-2F5F-4CD3-A7A9-71A68A3864A4}">
    <text xml:space="preserve">Cell O19 to T22 = Keep as is for now because this doesn't negatively affect the error check at row 46 &amp; 47. May update formula later if needed be. </text>
  </threadedComment>
  <threadedComment ref="L66" dT="2024-05-07T16:29:23.24" personId="{EB74FBF6-7850-4633-A40A-4BDCBA4A3313}" id="{C6CFCACD-36BB-47A1-97B0-37B30C91CE56}">
    <text>IF(SUM(D16:D19)&lt;&gt;0,IF(SUM(D22:D36)=0,"ERROR - Enter the beginning balance of row B, C, D or E","OK"))</text>
  </threadedComment>
</ThreadedComments>
</file>

<file path=xl/threadedComments/threadedComment5.xml><?xml version="1.0" encoding="utf-8"?>
<ThreadedComments xmlns="http://schemas.microsoft.com/office/spreadsheetml/2018/threadedcomments" xmlns:x="http://schemas.openxmlformats.org/spreadsheetml/2006/main">
  <threadedComment ref="X42" dT="2024-12-05T21:39:48.57" personId="{EB74FBF6-7850-4633-A40A-4BDCBA4A3313}" id="{D753899A-ACBF-4278-BF98-1DF4279DC80F}">
    <text>Agree to FY2024 WTB file at 'Offline SOA' tab</text>
  </threadedComment>
</ThreadedComments>
</file>

<file path=xl/threadedComments/threadedComment6.xml><?xml version="1.0" encoding="utf-8"?>
<ThreadedComments xmlns="http://schemas.microsoft.com/office/spreadsheetml/2018/threadedcomments" xmlns:x="http://schemas.openxmlformats.org/spreadsheetml/2006/main">
  <threadedComment ref="AI5" dT="2024-12-05T21:24:49.99" personId="{EB74FBF6-7850-4633-A40A-4BDCBA4A3313}" id="{948177A5-48C8-48D1-A735-41CDD4E3B5A0}">
    <text>University Data POV</text>
  </threadedComment>
</ThreadedComments>
</file>

<file path=xl/threadedComments/threadedComment7.xml><?xml version="1.0" encoding="utf-8"?>
<ThreadedComments xmlns="http://schemas.microsoft.com/office/spreadsheetml/2018/threadedcomments" xmlns:x="http://schemas.openxmlformats.org/spreadsheetml/2006/main">
  <threadedComment ref="AC4" dT="2024-12-05T21:40:09.17" personId="{EB74FBF6-7850-4633-A40A-4BDCBA4A3313}" id="{F6B2896E-F09C-40A5-9166-57F3020C67B2}">
    <text>University Data POV</text>
  </threadedComment>
</ThreadedComments>
</file>

<file path=xl/threadedComments/threadedComment8.xml><?xml version="1.0" encoding="utf-8"?>
<ThreadedComments xmlns="http://schemas.microsoft.com/office/spreadsheetml/2018/threadedcomments" xmlns:x="http://schemas.openxmlformats.org/spreadsheetml/2006/main">
  <threadedComment ref="E38" dT="2024-05-03T20:38:23.38" personId="{EB74FBF6-7850-4633-A40A-4BDCBA4A3313}" id="{479F4928-69E5-48AB-9E26-F6503BFBD62F}">
    <text>None in FY2023 on foundation template but universities reported under this account.</text>
  </threadedComment>
  <threadedComment ref="D42" dT="2023-03-16T18:31:23.32" personId="{EE8641C3-51BC-4E49-94E4-94D22833E2B4}" id="{9B4D040E-191B-4339-B076-30CA54DCF731}">
    <text>This is the same account as "Lease liability" in NFCS package</text>
  </threadedComment>
  <threadedComment ref="D45" dT="2023-03-16T18:51:10.03" personId="{EE8641C3-51BC-4E49-94E4-94D22833E2B4}" id="{5F9F0F08-FE3C-4D0D-9DAE-5D25665100DB}">
    <text>New account in FY2023 (account number 21410000 and 242000).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hyperlink" Target="https://www.ncosc.gov/state-agency-resources/ncfs-year-end/primary-governmentcomponent-units-2025-year-end-package/2025-acfr-year-end-worksheets" TargetMode="Externa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ncosc.gov/state-agency-resources/ncfs-ncas-year-end/primary-governmentcomponent-units-2025-year-end-package/2025-acfr-year-end-worksheets" TargetMode="External"/><Relationship Id="rId4" Type="http://schemas.microsoft.com/office/2017/10/relationships/threadedComment" Target="../threadedComments/threadedComment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 Id="rId4" Type="http://schemas.microsoft.com/office/2017/10/relationships/threadedComment" Target="../threadedComments/threadedComment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 Id="rId4" Type="http://schemas.microsoft.com/office/2017/10/relationships/threadedComment" Target="../threadedComments/threadedComment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 Id="rId4" Type="http://schemas.microsoft.com/office/2017/10/relationships/threadedComment" Target="../threadedComments/threadedComment7.xml"/></Relationships>
</file>

<file path=xl/worksheets/_rels/sheet18.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D23"/>
  <sheetViews>
    <sheetView showGridLines="0" tabSelected="1" zoomScale="115" zoomScaleNormal="115" workbookViewId="0">
      <selection activeCell="A25" sqref="A25"/>
    </sheetView>
  </sheetViews>
  <sheetFormatPr defaultRowHeight="12.75" x14ac:dyDescent="0.2"/>
  <cols>
    <col min="1" max="1" width="106.28515625" customWidth="1"/>
    <col min="2" max="2" width="27.7109375" customWidth="1"/>
    <col min="3" max="3" width="45.7109375" customWidth="1"/>
    <col min="4" max="4" width="16" customWidth="1"/>
  </cols>
  <sheetData>
    <row r="1" spans="1:4" ht="20.100000000000001" customHeight="1" x14ac:dyDescent="0.2">
      <c r="A1" s="27"/>
      <c r="B1" s="27"/>
      <c r="C1" s="27"/>
      <c r="D1" s="27"/>
    </row>
    <row r="2" spans="1:4" ht="15.75" x14ac:dyDescent="0.25">
      <c r="A2" s="38" t="s">
        <v>0</v>
      </c>
      <c r="B2" s="38"/>
      <c r="C2" s="38"/>
      <c r="D2" s="38"/>
    </row>
    <row r="3" spans="1:4" ht="15.75" x14ac:dyDescent="0.25">
      <c r="A3" s="38" t="s">
        <v>1</v>
      </c>
      <c r="B3" s="38"/>
      <c r="C3" s="38"/>
      <c r="D3" s="38"/>
    </row>
    <row r="4" spans="1:4" ht="15.75" x14ac:dyDescent="0.25">
      <c r="A4" s="42" t="s">
        <v>2</v>
      </c>
      <c r="B4" s="39"/>
      <c r="C4" s="39"/>
      <c r="D4" s="39"/>
    </row>
    <row r="5" spans="1:4" ht="12.75" customHeight="1" x14ac:dyDescent="0.2">
      <c r="A5" s="40"/>
      <c r="B5" s="40"/>
      <c r="C5" s="40"/>
      <c r="D5" s="40"/>
    </row>
    <row r="6" spans="1:4" ht="12.75" customHeight="1" x14ac:dyDescent="0.2">
      <c r="A6" s="27"/>
      <c r="B6" s="27"/>
      <c r="C6" s="27"/>
      <c r="D6" s="27"/>
    </row>
    <row r="7" spans="1:4" x14ac:dyDescent="0.2">
      <c r="A7" s="451" t="s">
        <v>3</v>
      </c>
      <c r="B7" s="451"/>
      <c r="C7" s="451"/>
      <c r="D7" s="451"/>
    </row>
    <row r="8" spans="1:4" x14ac:dyDescent="0.2">
      <c r="A8" s="451" t="s">
        <v>4</v>
      </c>
      <c r="B8" s="451"/>
      <c r="C8" s="451"/>
      <c r="D8" s="451"/>
    </row>
    <row r="9" spans="1:4" x14ac:dyDescent="0.2">
      <c r="A9" s="451" t="s">
        <v>5</v>
      </c>
      <c r="B9" s="451"/>
      <c r="C9" s="451"/>
      <c r="D9" s="451"/>
    </row>
    <row r="10" spans="1:4" x14ac:dyDescent="0.2">
      <c r="A10" s="451" t="s">
        <v>6</v>
      </c>
      <c r="B10" s="451"/>
      <c r="C10" s="451"/>
      <c r="D10" s="451"/>
    </row>
    <row r="11" spans="1:4" ht="12.75" customHeight="1" x14ac:dyDescent="0.2">
      <c r="A11" s="451"/>
      <c r="B11" s="451"/>
      <c r="C11" s="451"/>
      <c r="D11" s="451"/>
    </row>
    <row r="12" spans="1:4" x14ac:dyDescent="0.2">
      <c r="A12" s="451" t="s">
        <v>7</v>
      </c>
      <c r="B12" s="451"/>
      <c r="C12" s="451"/>
      <c r="D12" s="451"/>
    </row>
    <row r="13" spans="1:4" x14ac:dyDescent="0.2">
      <c r="A13" s="451" t="s">
        <v>8</v>
      </c>
      <c r="B13" s="451"/>
      <c r="C13" s="451"/>
      <c r="D13" s="451"/>
    </row>
    <row r="14" spans="1:4" x14ac:dyDescent="0.2">
      <c r="A14" s="451" t="s">
        <v>9</v>
      </c>
      <c r="B14" s="451"/>
      <c r="C14" s="451"/>
      <c r="D14" s="451"/>
    </row>
    <row r="15" spans="1:4" x14ac:dyDescent="0.2">
      <c r="A15" s="451" t="s">
        <v>10</v>
      </c>
      <c r="B15" s="451"/>
      <c r="C15" s="451"/>
      <c r="D15" s="451"/>
    </row>
    <row r="16" spans="1:4" x14ac:dyDescent="0.2">
      <c r="A16" s="451"/>
      <c r="B16" s="451"/>
      <c r="C16" s="451"/>
      <c r="D16" s="451"/>
    </row>
    <row r="17" spans="1:4" ht="12.75" customHeight="1" x14ac:dyDescent="0.2">
      <c r="A17" s="452" t="s">
        <v>11</v>
      </c>
      <c r="B17" s="452"/>
      <c r="C17" s="452"/>
      <c r="D17" s="452"/>
    </row>
    <row r="18" spans="1:4" ht="12.75" customHeight="1" x14ac:dyDescent="0.2">
      <c r="A18" s="451" t="s">
        <v>12</v>
      </c>
      <c r="B18" s="451"/>
      <c r="C18" s="451"/>
      <c r="D18" s="451"/>
    </row>
    <row r="19" spans="1:4" x14ac:dyDescent="0.2">
      <c r="A19" s="451" t="s">
        <v>13</v>
      </c>
      <c r="B19" s="451"/>
      <c r="C19" s="451"/>
      <c r="D19" s="451"/>
    </row>
    <row r="20" spans="1:4" x14ac:dyDescent="0.2">
      <c r="A20" s="451" t="s">
        <v>14</v>
      </c>
      <c r="B20" s="451"/>
      <c r="C20" s="451"/>
      <c r="D20" s="451"/>
    </row>
    <row r="21" spans="1:4" x14ac:dyDescent="0.2">
      <c r="A21" s="451" t="s">
        <v>15</v>
      </c>
      <c r="B21" s="451"/>
      <c r="C21" s="451"/>
      <c r="D21" s="451"/>
    </row>
    <row r="22" spans="1:4" ht="20.100000000000001" customHeight="1" x14ac:dyDescent="0.2"/>
    <row r="23" spans="1:4" x14ac:dyDescent="0.2">
      <c r="A23" s="512" t="s">
        <v>794</v>
      </c>
    </row>
  </sheetData>
  <sheetProtection algorithmName="SHA-512" hashValue="LGlYdVWBZ4jDvTltojdrP2APMJkJ5297i9Zz3U72nyylRr/n1ZjmQLZ1GSbGF1D7JdouN2Ct49o3iSKEtmDErA==" saltValue="oGnOm5T2mn/0FmnGlTAxzg==" spinCount="100000" sheet="1" autoFilter="0"/>
  <phoneticPr fontId="0" type="noConversion"/>
  <pageMargins left="0.5" right="0.25" top="0.5" bottom="0.4" header="0.5" footer="0.25"/>
  <pageSetup orientation="landscape" r:id="rId1"/>
  <headerFooter alignWithMargins="0">
    <oddFooter>&amp;L&amp;F &amp;A&amp;C&amp;P of &amp;N&amp;R&amp;D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59999389629810485"/>
  </sheetPr>
  <dimension ref="A1:S113"/>
  <sheetViews>
    <sheetView zoomScaleNormal="100" workbookViewId="0">
      <selection activeCell="E20" sqref="E20"/>
    </sheetView>
  </sheetViews>
  <sheetFormatPr defaultColWidth="9.140625" defaultRowHeight="15.75" x14ac:dyDescent="0.2"/>
  <cols>
    <col min="1" max="1" width="11.28515625" style="288" customWidth="1"/>
    <col min="2" max="2" width="39.140625" style="288" customWidth="1"/>
    <col min="3" max="3" width="32.5703125" style="288" customWidth="1"/>
    <col min="4" max="4" width="24" style="288" customWidth="1"/>
    <col min="5" max="5" width="29.140625" style="288" customWidth="1"/>
    <col min="6" max="6" width="25.7109375" style="288" customWidth="1"/>
    <col min="7" max="7" width="50.7109375" style="288" customWidth="1"/>
    <col min="8" max="8" width="78.5703125" style="288" customWidth="1"/>
    <col min="9" max="9" width="12.5703125" style="288" customWidth="1"/>
    <col min="10" max="10" width="9.140625" style="288" hidden="1" customWidth="1"/>
    <col min="11" max="11" width="12.5703125" style="288" hidden="1" customWidth="1"/>
    <col min="12" max="13" width="11.5703125" style="288" hidden="1" customWidth="1"/>
    <col min="14" max="15" width="19.7109375" style="288" hidden="1" customWidth="1"/>
    <col min="16" max="17" width="19.85546875" style="288" hidden="1" customWidth="1"/>
    <col min="18" max="18" width="22" style="390" hidden="1" customWidth="1"/>
    <col min="19" max="19" width="9.42578125" style="390" bestFit="1" customWidth="1"/>
    <col min="20" max="16384" width="9.140625" style="288"/>
  </cols>
  <sheetData>
    <row r="1" spans="1:19" ht="23.25" x14ac:dyDescent="0.2">
      <c r="B1" s="369"/>
      <c r="R1" s="370"/>
      <c r="S1" s="370"/>
    </row>
    <row r="2" spans="1:19" s="371" customFormat="1" ht="18.600000000000001" customHeight="1" x14ac:dyDescent="0.2">
      <c r="A2" s="362"/>
      <c r="B2" s="372" t="str">
        <f>CONCATENATE(Info!D7," Foundations")</f>
        <v>UNC System Office Foundations</v>
      </c>
      <c r="C2" s="362"/>
      <c r="D2" s="362"/>
      <c r="E2" s="288"/>
      <c r="F2" s="373"/>
      <c r="G2" s="362"/>
      <c r="H2" s="362"/>
      <c r="I2" s="362"/>
      <c r="J2" s="362"/>
      <c r="K2" s="362"/>
      <c r="L2" s="362"/>
      <c r="M2" s="362"/>
      <c r="N2" s="362"/>
      <c r="O2" s="362"/>
      <c r="P2" s="362"/>
      <c r="Q2" s="362"/>
      <c r="R2" s="370"/>
      <c r="S2" s="370"/>
    </row>
    <row r="3" spans="1:19" s="371" customFormat="1" ht="18.600000000000001" customHeight="1" x14ac:dyDescent="0.2">
      <c r="A3" s="362"/>
      <c r="B3" s="374" t="s">
        <v>123</v>
      </c>
      <c r="C3" s="362"/>
      <c r="D3" s="362"/>
      <c r="E3" s="288"/>
      <c r="F3" s="373"/>
      <c r="G3" s="362"/>
      <c r="H3" s="362"/>
      <c r="I3" s="362"/>
      <c r="J3" s="362"/>
      <c r="K3" s="362"/>
      <c r="L3" s="362"/>
      <c r="M3" s="362"/>
      <c r="N3" s="362"/>
      <c r="O3" s="362"/>
      <c r="P3" s="362"/>
      <c r="Q3" s="362"/>
      <c r="R3" s="370"/>
      <c r="S3" s="370"/>
    </row>
    <row r="4" spans="1:19" s="371" customFormat="1" ht="18.600000000000001" customHeight="1" thickBot="1" x14ac:dyDescent="0.25">
      <c r="A4" s="362"/>
      <c r="B4" s="374"/>
      <c r="C4" s="362"/>
      <c r="D4" s="362"/>
      <c r="E4" s="362"/>
      <c r="F4" s="373"/>
      <c r="G4" s="362"/>
      <c r="H4" s="362"/>
      <c r="I4" s="362"/>
      <c r="J4" s="362"/>
      <c r="K4" s="362"/>
      <c r="L4" s="362"/>
      <c r="M4" s="362"/>
      <c r="N4" s="362"/>
      <c r="O4" s="362"/>
      <c r="P4" s="362"/>
      <c r="Q4" s="362"/>
      <c r="R4" s="375"/>
      <c r="S4" s="375"/>
    </row>
    <row r="5" spans="1:19" s="371" customFormat="1" ht="33" customHeight="1" thickBot="1" x14ac:dyDescent="0.25">
      <c r="A5" s="362"/>
      <c r="B5" s="562" t="s">
        <v>776</v>
      </c>
      <c r="C5" s="563"/>
      <c r="D5" s="563"/>
      <c r="E5" s="563"/>
      <c r="F5" s="563"/>
      <c r="G5" s="564"/>
      <c r="H5" s="362"/>
      <c r="I5" s="362"/>
      <c r="J5" s="362"/>
      <c r="K5" s="362"/>
      <c r="L5" s="362"/>
      <c r="M5" s="362"/>
      <c r="N5" s="362"/>
      <c r="O5" s="362"/>
      <c r="P5" s="362"/>
      <c r="Q5" s="362"/>
      <c r="R5" s="375"/>
      <c r="S5" s="375"/>
    </row>
    <row r="6" spans="1:19" s="442" customFormat="1" ht="26.25" customHeight="1" thickBot="1" x14ac:dyDescent="0.25">
      <c r="B6" s="470" t="s">
        <v>777</v>
      </c>
      <c r="C6" s="471"/>
      <c r="D6" s="471"/>
      <c r="E6" s="471"/>
      <c r="F6" s="471"/>
      <c r="G6" s="472"/>
      <c r="R6" s="469"/>
      <c r="S6" s="469"/>
    </row>
    <row r="7" spans="1:19" s="371" customFormat="1" ht="12.75" x14ac:dyDescent="0.2">
      <c r="A7" s="362"/>
      <c r="B7" s="426" t="s">
        <v>331</v>
      </c>
      <c r="C7" s="427"/>
      <c r="D7" s="427"/>
      <c r="E7" s="427"/>
      <c r="F7" s="428"/>
      <c r="G7" s="453"/>
      <c r="H7" s="362"/>
      <c r="I7" s="362"/>
      <c r="J7" s="362"/>
      <c r="K7" s="362"/>
      <c r="L7" s="362"/>
      <c r="M7" s="362"/>
      <c r="N7" s="362"/>
      <c r="O7" s="362"/>
      <c r="P7" s="362"/>
      <c r="Q7" s="362"/>
      <c r="R7" s="375"/>
      <c r="S7" s="375"/>
    </row>
    <row r="8" spans="1:19" s="371" customFormat="1" ht="12.75" x14ac:dyDescent="0.2">
      <c r="A8" s="362"/>
      <c r="B8" s="376" t="s">
        <v>332</v>
      </c>
      <c r="C8" s="427"/>
      <c r="D8" s="427"/>
      <c r="E8" s="427"/>
      <c r="F8" s="428"/>
      <c r="G8" s="453"/>
      <c r="H8" s="362"/>
      <c r="I8" s="362"/>
      <c r="J8" s="362"/>
      <c r="K8" s="362"/>
      <c r="L8" s="362"/>
      <c r="M8" s="362"/>
      <c r="N8" s="362"/>
      <c r="O8" s="362"/>
      <c r="P8" s="362"/>
      <c r="Q8" s="362"/>
      <c r="R8" s="375"/>
      <c r="S8" s="375"/>
    </row>
    <row r="9" spans="1:19" s="371" customFormat="1" ht="27" customHeight="1" x14ac:dyDescent="0.2">
      <c r="A9" s="362"/>
      <c r="B9" s="577" t="s">
        <v>333</v>
      </c>
      <c r="C9" s="578"/>
      <c r="D9" s="578"/>
      <c r="E9" s="578"/>
      <c r="F9" s="578"/>
      <c r="G9" s="579"/>
      <c r="H9" s="362"/>
      <c r="I9" s="362"/>
      <c r="J9" s="362"/>
      <c r="K9" s="362"/>
      <c r="L9" s="362"/>
      <c r="M9" s="362"/>
      <c r="N9" s="362"/>
      <c r="O9" s="362"/>
      <c r="P9" s="362"/>
      <c r="Q9" s="362"/>
      <c r="R9" s="375"/>
      <c r="S9" s="375"/>
    </row>
    <row r="10" spans="1:19" s="371" customFormat="1" ht="12.75" x14ac:dyDescent="0.2">
      <c r="A10" s="362"/>
      <c r="B10" s="405" t="s">
        <v>769</v>
      </c>
      <c r="C10" s="427"/>
      <c r="D10" s="427"/>
      <c r="E10" s="427"/>
      <c r="F10" s="428"/>
      <c r="G10" s="453"/>
      <c r="H10" s="362"/>
      <c r="I10" s="362"/>
      <c r="J10" s="362"/>
      <c r="K10" s="362"/>
      <c r="L10" s="362"/>
      <c r="M10" s="362"/>
      <c r="N10" s="362"/>
      <c r="O10" s="362"/>
      <c r="P10" s="362"/>
      <c r="Q10" s="362"/>
      <c r="R10" s="375"/>
      <c r="S10" s="375"/>
    </row>
    <row r="11" spans="1:19" s="371" customFormat="1" ht="12.75" x14ac:dyDescent="0.2">
      <c r="A11" s="362"/>
      <c r="B11" s="376" t="s">
        <v>773</v>
      </c>
      <c r="C11" s="427"/>
      <c r="D11" s="427"/>
      <c r="E11" s="427"/>
      <c r="F11" s="428"/>
      <c r="G11" s="453"/>
      <c r="H11" s="362"/>
      <c r="I11" s="362"/>
      <c r="J11" s="362"/>
      <c r="K11" s="362"/>
      <c r="L11" s="362"/>
      <c r="M11" s="362"/>
      <c r="N11" s="362"/>
      <c r="O11" s="362"/>
      <c r="P11" s="362"/>
      <c r="Q11" s="362"/>
      <c r="R11" s="375"/>
      <c r="S11" s="375"/>
    </row>
    <row r="12" spans="1:19" s="371" customFormat="1" ht="12.75" x14ac:dyDescent="0.2">
      <c r="A12" s="362"/>
      <c r="B12" s="405" t="s">
        <v>768</v>
      </c>
      <c r="C12" s="427"/>
      <c r="D12" s="427"/>
      <c r="E12" s="427"/>
      <c r="F12" s="428"/>
      <c r="G12" s="453"/>
      <c r="H12" s="362"/>
      <c r="I12" s="362"/>
      <c r="J12" s="362"/>
      <c r="K12" s="362"/>
      <c r="L12" s="362"/>
      <c r="M12" s="362"/>
      <c r="N12" s="362"/>
      <c r="O12" s="362"/>
      <c r="P12" s="362"/>
      <c r="Q12" s="362"/>
      <c r="R12" s="375"/>
      <c r="S12" s="375"/>
    </row>
    <row r="13" spans="1:19" s="371" customFormat="1" ht="13.5" thickBot="1" x14ac:dyDescent="0.25">
      <c r="A13" s="362"/>
      <c r="B13" s="377" t="s">
        <v>770</v>
      </c>
      <c r="C13" s="378"/>
      <c r="D13" s="378"/>
      <c r="E13" s="391"/>
      <c r="F13" s="391" t="s">
        <v>334</v>
      </c>
      <c r="G13" s="454"/>
      <c r="H13" s="362"/>
      <c r="I13" s="362"/>
      <c r="J13" s="362"/>
      <c r="K13" s="362"/>
      <c r="L13" s="362"/>
      <c r="M13" s="362"/>
      <c r="N13" s="362"/>
      <c r="O13" s="362"/>
      <c r="P13" s="362"/>
      <c r="Q13" s="362"/>
      <c r="R13" s="375"/>
      <c r="S13" s="375"/>
    </row>
    <row r="14" spans="1:19" s="371" customFormat="1" ht="12.75" customHeight="1" x14ac:dyDescent="0.2">
      <c r="A14" s="362"/>
      <c r="B14" s="362"/>
      <c r="C14" s="372"/>
      <c r="D14" s="362"/>
      <c r="E14" s="362"/>
      <c r="F14" s="362"/>
      <c r="G14" s="362"/>
      <c r="H14" s="362"/>
      <c r="I14" s="362"/>
      <c r="J14" s="362"/>
      <c r="K14" s="362"/>
      <c r="L14" s="362"/>
      <c r="M14" s="362"/>
      <c r="N14" s="362"/>
      <c r="O14" s="362"/>
      <c r="P14" s="362"/>
      <c r="Q14" s="362"/>
      <c r="R14" s="375"/>
      <c r="S14" s="375"/>
    </row>
    <row r="15" spans="1:19" s="371" customFormat="1" ht="12.75" customHeight="1" x14ac:dyDescent="0.2">
      <c r="A15" s="362"/>
      <c r="B15" s="362"/>
      <c r="C15" s="379"/>
      <c r="D15" s="380" t="s">
        <v>335</v>
      </c>
      <c r="E15" s="380" t="s">
        <v>336</v>
      </c>
      <c r="F15" s="380" t="s">
        <v>337</v>
      </c>
      <c r="G15" s="381" t="s">
        <v>338</v>
      </c>
      <c r="H15" s="362"/>
      <c r="I15" s="362"/>
      <c r="J15" s="362"/>
      <c r="K15" s="362"/>
      <c r="L15" s="362"/>
      <c r="M15" s="362"/>
      <c r="N15" s="362"/>
      <c r="O15" s="362"/>
      <c r="P15" s="362"/>
      <c r="Q15" s="362"/>
      <c r="R15" s="375"/>
      <c r="S15" s="375"/>
    </row>
    <row r="16" spans="1:19" s="371" customFormat="1" ht="12.75" customHeight="1" x14ac:dyDescent="0.2">
      <c r="A16" s="362"/>
      <c r="B16" s="382" t="s">
        <v>339</v>
      </c>
      <c r="C16" s="382"/>
      <c r="D16" s="382">
        <v>1</v>
      </c>
      <c r="E16" s="382">
        <v>2</v>
      </c>
      <c r="F16" s="382">
        <v>3</v>
      </c>
      <c r="G16" s="383">
        <v>4</v>
      </c>
      <c r="H16" s="383">
        <v>5</v>
      </c>
      <c r="I16" s="360"/>
      <c r="J16" s="362"/>
      <c r="K16" s="362"/>
      <c r="L16" s="362"/>
      <c r="M16" s="362"/>
      <c r="N16" s="362"/>
      <c r="O16" s="362"/>
      <c r="P16" s="362"/>
      <c r="Q16" s="362"/>
      <c r="R16" s="375"/>
      <c r="S16" s="375"/>
    </row>
    <row r="17" spans="1:19" s="287" customFormat="1" ht="28.5" customHeight="1" x14ac:dyDescent="0.2">
      <c r="A17" s="312" t="s">
        <v>340</v>
      </c>
      <c r="B17" s="313" t="s">
        <v>341</v>
      </c>
      <c r="C17" s="358">
        <f>+'Exh E'!D28</f>
        <v>0</v>
      </c>
      <c r="D17" s="316" t="s">
        <v>342</v>
      </c>
      <c r="E17" s="356" t="s">
        <v>142</v>
      </c>
      <c r="F17" s="316" t="s">
        <v>343</v>
      </c>
      <c r="G17" s="316" t="s">
        <v>772</v>
      </c>
      <c r="H17" s="529" t="s">
        <v>788</v>
      </c>
      <c r="I17" s="360"/>
      <c r="R17" s="375"/>
      <c r="S17" s="375"/>
    </row>
    <row r="18" spans="1:19" ht="13.15" customHeight="1" x14ac:dyDescent="0.2">
      <c r="B18" s="568" t="s">
        <v>345</v>
      </c>
      <c r="C18" s="569"/>
      <c r="D18" s="569"/>
      <c r="E18" s="569"/>
      <c r="F18" s="569"/>
      <c r="G18" s="320"/>
      <c r="H18" s="320"/>
      <c r="I18" s="362"/>
      <c r="J18" s="516"/>
      <c r="K18" s="517" t="s">
        <v>346</v>
      </c>
      <c r="L18" s="517" t="s">
        <v>325</v>
      </c>
      <c r="M18" s="517"/>
      <c r="N18" s="518" t="s">
        <v>347</v>
      </c>
      <c r="O18" s="518" t="s">
        <v>348</v>
      </c>
      <c r="P18" s="519" t="s">
        <v>349</v>
      </c>
      <c r="Q18" s="519" t="s">
        <v>350</v>
      </c>
      <c r="R18" s="520" t="s">
        <v>767</v>
      </c>
      <c r="S18" s="375"/>
    </row>
    <row r="19" spans="1:19" ht="39.950000000000003" customHeight="1" x14ac:dyDescent="0.2">
      <c r="A19" s="565" t="s">
        <v>351</v>
      </c>
      <c r="B19" s="319" t="s">
        <v>352</v>
      </c>
      <c r="C19" s="384" t="s">
        <v>352</v>
      </c>
      <c r="D19" s="353"/>
      <c r="E19" s="357"/>
      <c r="F19" s="352">
        <f>+D19+E19</f>
        <v>0</v>
      </c>
      <c r="G19" s="429" t="s">
        <v>354</v>
      </c>
      <c r="H19" s="323"/>
      <c r="I19" s="359"/>
      <c r="J19" s="516">
        <f>COUNTIF(K19:L19,FALSE)</f>
        <v>0</v>
      </c>
      <c r="K19" s="516" t="b">
        <f t="shared" ref="K19:L22" si="0">ISBLANK(D19)</f>
        <v>1</v>
      </c>
      <c r="L19" s="516" t="b">
        <f t="shared" si="0"/>
        <v>1</v>
      </c>
      <c r="M19" s="516"/>
      <c r="N19" s="521" t="b">
        <f>IF(E19&lt;&gt;0,IF(B19="Select an account",NOT(ISBLANK(B19)),ISBLANK(B19)))</f>
        <v>0</v>
      </c>
      <c r="O19" s="522" t="b">
        <f>IF(E19=0,IF(B19="Select an account",NOT(ISBLANK(B19)),ISBLANK(B19)))</f>
        <v>0</v>
      </c>
      <c r="P19" s="523" t="b">
        <f>IF(E19&lt;&gt;0,IF(G19="Select Reason",NOT(ISBLANK(G19)),ISBLANK(G19)))</f>
        <v>0</v>
      </c>
      <c r="Q19" s="523" t="b">
        <f>IF(E19=0,IF(G19="Select Reason",ISBLANK(G19),NOT(ISBLANK(G19))))</f>
        <v>0</v>
      </c>
      <c r="R19" s="524" t="b">
        <f>IF(E19=0,ISBLANK(H19),NOT(ISBLANK(H19)))</f>
        <v>1</v>
      </c>
      <c r="S19" s="375"/>
    </row>
    <row r="20" spans="1:19" ht="39.950000000000003" customHeight="1" x14ac:dyDescent="0.2">
      <c r="A20" s="565"/>
      <c r="B20" s="319" t="s">
        <v>355</v>
      </c>
      <c r="C20" s="384" t="s">
        <v>355</v>
      </c>
      <c r="D20" s="353"/>
      <c r="E20" s="357"/>
      <c r="F20" s="352">
        <f>+D20+E20</f>
        <v>0</v>
      </c>
      <c r="G20" s="429" t="s">
        <v>354</v>
      </c>
      <c r="H20" s="393"/>
      <c r="I20" s="359"/>
      <c r="J20" s="516">
        <f t="shared" ref="J20:J22" si="1">COUNTIF(K20:L20,FALSE)</f>
        <v>0</v>
      </c>
      <c r="K20" s="516" t="b">
        <f t="shared" si="0"/>
        <v>1</v>
      </c>
      <c r="L20" s="516" t="b">
        <f t="shared" si="0"/>
        <v>1</v>
      </c>
      <c r="M20" s="516"/>
      <c r="N20" s="521" t="b">
        <f>IF(E20&lt;&gt;0,IF(B20="Select an account",NOT(ISBLANK(B20)),ISBLANK(B20)))</f>
        <v>0</v>
      </c>
      <c r="O20" s="522" t="b">
        <f>IF(E20=0,IF(B20="Select an account",NOT(ISBLANK(B20)),ISBLANK(B20)))</f>
        <v>0</v>
      </c>
      <c r="P20" s="523" t="b">
        <f>IF(E20&lt;&gt;0,IF(G20="Select Reason",NOT(ISBLANK(G20)),ISBLANK(G20)))</f>
        <v>0</v>
      </c>
      <c r="Q20" s="523" t="b">
        <f>IF(E20=0,IF(G20="Select Reason",ISBLANK(G20),NOT(ISBLANK(G20))))</f>
        <v>0</v>
      </c>
      <c r="R20" s="524" t="b">
        <f>IF(E20=0,ISBLANK(H20),NOT(ISBLANK(H20)))</f>
        <v>1</v>
      </c>
      <c r="S20" s="375"/>
    </row>
    <row r="21" spans="1:19" ht="39.950000000000003" customHeight="1" x14ac:dyDescent="0.2">
      <c r="A21" s="565"/>
      <c r="B21" s="319" t="s">
        <v>356</v>
      </c>
      <c r="C21" s="384" t="s">
        <v>356</v>
      </c>
      <c r="D21" s="353"/>
      <c r="E21" s="357"/>
      <c r="F21" s="352">
        <f>+D21+E21</f>
        <v>0</v>
      </c>
      <c r="G21" s="429" t="s">
        <v>354</v>
      </c>
      <c r="H21" s="393"/>
      <c r="I21" s="359"/>
      <c r="J21" s="516">
        <f t="shared" si="1"/>
        <v>0</v>
      </c>
      <c r="K21" s="516" t="b">
        <f t="shared" si="0"/>
        <v>1</v>
      </c>
      <c r="L21" s="516" t="b">
        <f t="shared" si="0"/>
        <v>1</v>
      </c>
      <c r="M21" s="516"/>
      <c r="N21" s="521" t="b">
        <f>IF(E21&lt;&gt;0,IF(B21="Select an account",NOT(ISBLANK(B21)),ISBLANK(B21)))</f>
        <v>0</v>
      </c>
      <c r="O21" s="522" t="b">
        <f>IF(E21=0,IF(B21="R_Restricted - expendable",ISBLANK(B21),NOT(ISBLANK(B21))))</f>
        <v>0</v>
      </c>
      <c r="P21" s="523" t="b">
        <f>IF(E21&lt;&gt;0,IF(G21="Select Reason",NOT(ISBLANK(G21)),ISBLANK(G21)))</f>
        <v>0</v>
      </c>
      <c r="Q21" s="523" t="b">
        <f>IF(E21=0,IF(G21="Select Reason",ISBLANK(G21),NOT(ISBLANK(G21))))</f>
        <v>0</v>
      </c>
      <c r="R21" s="524" t="b">
        <f>IF(E21=0,ISBLANK(H21),NOT(ISBLANK(H21)))</f>
        <v>1</v>
      </c>
      <c r="S21" s="375"/>
    </row>
    <row r="22" spans="1:19" ht="39.950000000000003" customHeight="1" thickBot="1" x14ac:dyDescent="0.25">
      <c r="A22" s="565"/>
      <c r="B22" s="319" t="s">
        <v>357</v>
      </c>
      <c r="C22" s="384" t="s">
        <v>357</v>
      </c>
      <c r="D22" s="353"/>
      <c r="E22" s="357"/>
      <c r="F22" s="352">
        <f>+D22+E22</f>
        <v>0</v>
      </c>
      <c r="G22" s="429" t="s">
        <v>354</v>
      </c>
      <c r="H22" s="393"/>
      <c r="I22" s="359"/>
      <c r="J22" s="516">
        <f t="shared" si="1"/>
        <v>0</v>
      </c>
      <c r="K22" s="516" t="b">
        <f t="shared" si="0"/>
        <v>1</v>
      </c>
      <c r="L22" s="516" t="b">
        <f t="shared" si="0"/>
        <v>1</v>
      </c>
      <c r="M22" s="516"/>
      <c r="N22" s="521" t="b">
        <f>IF(E22&lt;&gt;0,IF(B22="Select an account",NOT(ISBLANK(B22)),ISBLANK(B22)))</f>
        <v>0</v>
      </c>
      <c r="O22" s="522" t="b">
        <f>IF(E22=0,IF(B22="R_Unrestricted",ISBLANK(B22),NOT(ISBLANK(B22))))</f>
        <v>0</v>
      </c>
      <c r="P22" s="523" t="b">
        <f>IF(E22&lt;&gt;0,IF(G22="Select Reason",NOT(ISBLANK(G22)),ISBLANK(G22)))</f>
        <v>0</v>
      </c>
      <c r="Q22" s="523" t="b">
        <f>IF(E22=0,IF(G22="Select Reason",ISBLANK(G22),NOT(ISBLANK(G22))))</f>
        <v>0</v>
      </c>
      <c r="R22" s="524" t="b">
        <f>IF(E22=0,ISBLANK(H22),NOT(ISBLANK(H22)))</f>
        <v>1</v>
      </c>
      <c r="S22" s="375"/>
    </row>
    <row r="23" spans="1:19" ht="39.950000000000003" customHeight="1" thickBot="1" x14ac:dyDescent="0.25">
      <c r="A23" s="400" t="s">
        <v>358</v>
      </c>
      <c r="B23" s="325"/>
      <c r="C23" s="325"/>
      <c r="D23" s="396" t="str">
        <f>IF(C17=0,"OK",IF(C17&lt;&gt;0,IF((SUM(D19:D22)=0),"Enter beginning balance","OK")))</f>
        <v>OK</v>
      </c>
      <c r="E23" s="396" t="str">
        <f>IF(C17=0,"OK",IF(C17&lt;&gt;0,IF((SUM(E19:E22)=C17),"OK","Check restatement amount")))</f>
        <v>OK</v>
      </c>
      <c r="F23" s="325"/>
      <c r="G23" s="325"/>
      <c r="H23" s="325"/>
      <c r="I23" s="359"/>
      <c r="J23" s="516"/>
      <c r="K23" s="516"/>
      <c r="L23" s="516"/>
      <c r="M23" s="516"/>
      <c r="N23" s="521"/>
      <c r="O23" s="522"/>
      <c r="P23" s="523"/>
      <c r="Q23" s="523"/>
      <c r="R23" s="524"/>
      <c r="S23" s="375"/>
    </row>
    <row r="24" spans="1:19" ht="12.75" x14ac:dyDescent="0.2">
      <c r="A24" s="223"/>
      <c r="B24" s="321" t="s">
        <v>359</v>
      </c>
      <c r="C24" s="350"/>
      <c r="D24" s="351"/>
      <c r="E24" s="351"/>
      <c r="F24" s="351"/>
      <c r="G24" s="546"/>
      <c r="H24" s="566"/>
      <c r="I24" s="361"/>
      <c r="J24" s="516"/>
      <c r="K24" s="516"/>
      <c r="L24" s="516"/>
      <c r="M24" s="516"/>
      <c r="N24" s="521"/>
      <c r="O24" s="521"/>
      <c r="P24" s="523"/>
      <c r="Q24" s="523"/>
      <c r="R24" s="524"/>
      <c r="S24" s="375"/>
    </row>
    <row r="25" spans="1:19" ht="12.75" x14ac:dyDescent="0.2">
      <c r="A25" s="223"/>
      <c r="B25" s="321" t="s">
        <v>55</v>
      </c>
      <c r="C25" s="348" t="s">
        <v>360</v>
      </c>
      <c r="D25" s="349"/>
      <c r="E25" s="349"/>
      <c r="F25" s="544"/>
      <c r="G25" s="545"/>
      <c r="H25" s="567"/>
      <c r="I25" s="361"/>
      <c r="J25" s="516"/>
      <c r="K25" s="516"/>
      <c r="L25" s="516"/>
      <c r="M25" s="516"/>
      <c r="N25" s="521"/>
      <c r="O25" s="521"/>
      <c r="P25" s="523"/>
      <c r="Q25" s="523"/>
      <c r="R25" s="524"/>
      <c r="S25" s="375"/>
    </row>
    <row r="26" spans="1:19" ht="39.950000000000003" customHeight="1" x14ac:dyDescent="0.2">
      <c r="A26" s="565" t="s">
        <v>361</v>
      </c>
      <c r="B26" s="407" t="s">
        <v>362</v>
      </c>
      <c r="C26" s="385" t="str">
        <f>VLOOKUP(B26,Notes!$E$3:$F$27,2,FALSE)</f>
        <v>OSC Use only</v>
      </c>
      <c r="D26" s="432"/>
      <c r="E26" s="433"/>
      <c r="F26" s="434">
        <f>+D26+E26</f>
        <v>0</v>
      </c>
      <c r="G26" s="429" t="s">
        <v>354</v>
      </c>
      <c r="H26" s="323"/>
      <c r="I26" s="359"/>
      <c r="J26" s="516">
        <f t="shared" ref="J26:J27" si="2">COUNTIF(K26:L26,FALSE)</f>
        <v>0</v>
      </c>
      <c r="K26" s="386" t="b">
        <f t="shared" ref="K26:L33" si="3">ISBLANK(D26)</f>
        <v>1</v>
      </c>
      <c r="L26" s="386" t="b">
        <f t="shared" si="3"/>
        <v>1</v>
      </c>
      <c r="M26" s="386"/>
      <c r="N26" s="521" t="b">
        <f t="shared" ref="N26:N33" si="4">IF(E26&lt;&gt;0,IF(B26="Select an account",NOT(ISBLANK(B26)),ISBLANK(B26)))</f>
        <v>0</v>
      </c>
      <c r="O26" s="522" t="b">
        <f t="shared" ref="O26:O33" si="5">IF(E26=0,IF(B26="Select an account",ISBLANK(B26),NOT(ISBLANK(B26))))</f>
        <v>0</v>
      </c>
      <c r="P26" s="409" t="b">
        <f t="shared" ref="P26:P33" si="6">IF(E26&lt;&gt;0,IF(G26="Select Reason",NOT(ISBLANK(G26)),ISBLANK(G26)))</f>
        <v>0</v>
      </c>
      <c r="Q26" s="409" t="b">
        <f t="shared" ref="Q26:Q33" si="7">IF(E26=0,IF(G26="Select Reason",ISBLANK(G26),NOT(ISBLANK(G26))))</f>
        <v>0</v>
      </c>
      <c r="R26" s="524" t="b">
        <f t="shared" ref="R26:R33" si="8">IF(E26=0,ISBLANK(H26),NOT(ISBLANK(H26)))</f>
        <v>1</v>
      </c>
      <c r="S26" s="375"/>
    </row>
    <row r="27" spans="1:19" ht="39.950000000000003" customHeight="1" x14ac:dyDescent="0.2">
      <c r="A27" s="565"/>
      <c r="B27" s="407" t="s">
        <v>362</v>
      </c>
      <c r="C27" s="385" t="str">
        <f>VLOOKUP(B27,Notes!$E$3:$F$27,2,FALSE)</f>
        <v>OSC Use only</v>
      </c>
      <c r="D27" s="432"/>
      <c r="E27" s="433"/>
      <c r="F27" s="434">
        <f>+D27+E27</f>
        <v>0</v>
      </c>
      <c r="G27" s="429" t="s">
        <v>354</v>
      </c>
      <c r="H27" s="323"/>
      <c r="I27" s="359"/>
      <c r="J27" s="516">
        <f t="shared" si="2"/>
        <v>0</v>
      </c>
      <c r="K27" s="386" t="b">
        <f t="shared" si="3"/>
        <v>1</v>
      </c>
      <c r="L27" s="386" t="b">
        <f t="shared" si="3"/>
        <v>1</v>
      </c>
      <c r="M27" s="386"/>
      <c r="N27" s="521" t="b">
        <f t="shared" si="4"/>
        <v>0</v>
      </c>
      <c r="O27" s="522" t="b">
        <f t="shared" si="5"/>
        <v>0</v>
      </c>
      <c r="P27" s="409" t="b">
        <f t="shared" si="6"/>
        <v>0</v>
      </c>
      <c r="Q27" s="409" t="b">
        <f t="shared" si="7"/>
        <v>0</v>
      </c>
      <c r="R27" s="524" t="b">
        <f t="shared" si="8"/>
        <v>1</v>
      </c>
      <c r="S27" s="375"/>
    </row>
    <row r="28" spans="1:19" ht="39.950000000000003" customHeight="1" x14ac:dyDescent="0.2">
      <c r="A28" s="565"/>
      <c r="B28" s="407" t="s">
        <v>362</v>
      </c>
      <c r="C28" s="385" t="str">
        <f>VLOOKUP(B28,Notes!$E$3:$F$27,2,FALSE)</f>
        <v>OSC Use only</v>
      </c>
      <c r="D28" s="432"/>
      <c r="E28" s="433"/>
      <c r="F28" s="434">
        <f>+D28+E28</f>
        <v>0</v>
      </c>
      <c r="G28" s="429" t="s">
        <v>354</v>
      </c>
      <c r="H28" s="393"/>
      <c r="I28" s="359"/>
      <c r="J28" s="516">
        <f>COUNTIF(K28:L28,FALSE)</f>
        <v>0</v>
      </c>
      <c r="K28" s="386" t="b">
        <f t="shared" si="3"/>
        <v>1</v>
      </c>
      <c r="L28" s="386" t="b">
        <f t="shared" si="3"/>
        <v>1</v>
      </c>
      <c r="M28" s="386"/>
      <c r="N28" s="521" t="b">
        <f t="shared" si="4"/>
        <v>0</v>
      </c>
      <c r="O28" s="522" t="b">
        <f t="shared" si="5"/>
        <v>0</v>
      </c>
      <c r="P28" s="409" t="b">
        <f t="shared" si="6"/>
        <v>0</v>
      </c>
      <c r="Q28" s="409" t="b">
        <f t="shared" si="7"/>
        <v>0</v>
      </c>
      <c r="R28" s="524" t="b">
        <f t="shared" si="8"/>
        <v>1</v>
      </c>
      <c r="S28" s="375"/>
    </row>
    <row r="29" spans="1:19" ht="39.950000000000003" customHeight="1" x14ac:dyDescent="0.2">
      <c r="A29" s="565"/>
      <c r="B29" s="407" t="s">
        <v>362</v>
      </c>
      <c r="C29" s="385" t="str">
        <f>VLOOKUP(B29,Notes!$E$3:$F$27,2,FALSE)</f>
        <v>OSC Use only</v>
      </c>
      <c r="D29" s="432"/>
      <c r="E29" s="433"/>
      <c r="F29" s="434">
        <f t="shared" ref="F29:F33" si="9">+D29+E29</f>
        <v>0</v>
      </c>
      <c r="G29" s="429" t="s">
        <v>354</v>
      </c>
      <c r="H29" s="393"/>
      <c r="I29" s="359"/>
      <c r="J29" s="516">
        <f t="shared" ref="J29:J33" si="10">COUNTIF(K29:L29,FALSE)</f>
        <v>0</v>
      </c>
      <c r="K29" s="386" t="b">
        <f t="shared" si="3"/>
        <v>1</v>
      </c>
      <c r="L29" s="386" t="b">
        <f t="shared" si="3"/>
        <v>1</v>
      </c>
      <c r="M29" s="386"/>
      <c r="N29" s="521" t="b">
        <f t="shared" si="4"/>
        <v>0</v>
      </c>
      <c r="O29" s="522" t="b">
        <f t="shared" si="5"/>
        <v>0</v>
      </c>
      <c r="P29" s="409" t="b">
        <f t="shared" si="6"/>
        <v>0</v>
      </c>
      <c r="Q29" s="409" t="b">
        <f t="shared" si="7"/>
        <v>0</v>
      </c>
      <c r="R29" s="524" t="b">
        <f t="shared" si="8"/>
        <v>1</v>
      </c>
      <c r="S29" s="375"/>
    </row>
    <row r="30" spans="1:19" ht="39.950000000000003" customHeight="1" x14ac:dyDescent="0.2">
      <c r="A30" s="565"/>
      <c r="B30" s="407" t="s">
        <v>362</v>
      </c>
      <c r="C30" s="385" t="str">
        <f>VLOOKUP(B30,Notes!$E$3:$F$27,2,FALSE)</f>
        <v>OSC Use only</v>
      </c>
      <c r="D30" s="432"/>
      <c r="E30" s="433"/>
      <c r="F30" s="434">
        <f t="shared" si="9"/>
        <v>0</v>
      </c>
      <c r="G30" s="429" t="s">
        <v>354</v>
      </c>
      <c r="H30" s="393"/>
      <c r="I30" s="359"/>
      <c r="J30" s="516">
        <f t="shared" si="10"/>
        <v>0</v>
      </c>
      <c r="K30" s="386" t="b">
        <f t="shared" si="3"/>
        <v>1</v>
      </c>
      <c r="L30" s="386" t="b">
        <f t="shared" si="3"/>
        <v>1</v>
      </c>
      <c r="M30" s="386"/>
      <c r="N30" s="521" t="b">
        <f t="shared" si="4"/>
        <v>0</v>
      </c>
      <c r="O30" s="522" t="b">
        <f t="shared" si="5"/>
        <v>0</v>
      </c>
      <c r="P30" s="409" t="b">
        <f t="shared" si="6"/>
        <v>0</v>
      </c>
      <c r="Q30" s="409" t="b">
        <f t="shared" si="7"/>
        <v>0</v>
      </c>
      <c r="R30" s="524" t="b">
        <f t="shared" si="8"/>
        <v>1</v>
      </c>
      <c r="S30" s="375"/>
    </row>
    <row r="31" spans="1:19" ht="39.950000000000003" customHeight="1" x14ac:dyDescent="0.2">
      <c r="A31" s="565"/>
      <c r="B31" s="407" t="s">
        <v>362</v>
      </c>
      <c r="C31" s="385" t="str">
        <f>VLOOKUP(B31,Notes!$E$3:$F$27,2,FALSE)</f>
        <v>OSC Use only</v>
      </c>
      <c r="D31" s="432"/>
      <c r="E31" s="433"/>
      <c r="F31" s="434">
        <f t="shared" si="9"/>
        <v>0</v>
      </c>
      <c r="G31" s="429" t="s">
        <v>354</v>
      </c>
      <c r="H31" s="393"/>
      <c r="I31" s="359"/>
      <c r="J31" s="516">
        <f t="shared" si="10"/>
        <v>0</v>
      </c>
      <c r="K31" s="386" t="b">
        <f t="shared" si="3"/>
        <v>1</v>
      </c>
      <c r="L31" s="386" t="b">
        <f t="shared" si="3"/>
        <v>1</v>
      </c>
      <c r="M31" s="386"/>
      <c r="N31" s="521" t="b">
        <f t="shared" si="4"/>
        <v>0</v>
      </c>
      <c r="O31" s="522" t="b">
        <f t="shared" si="5"/>
        <v>0</v>
      </c>
      <c r="P31" s="409" t="b">
        <f t="shared" si="6"/>
        <v>0</v>
      </c>
      <c r="Q31" s="409" t="b">
        <f t="shared" si="7"/>
        <v>0</v>
      </c>
      <c r="R31" s="524" t="b">
        <f t="shared" si="8"/>
        <v>1</v>
      </c>
      <c r="S31" s="375"/>
    </row>
    <row r="32" spans="1:19" ht="39.950000000000003" customHeight="1" x14ac:dyDescent="0.2">
      <c r="A32" s="565"/>
      <c r="B32" s="407" t="s">
        <v>362</v>
      </c>
      <c r="C32" s="385" t="str">
        <f>VLOOKUP(B32,Notes!$E$3:$F$27,2,FALSE)</f>
        <v>OSC Use only</v>
      </c>
      <c r="D32" s="432"/>
      <c r="E32" s="433"/>
      <c r="F32" s="434">
        <f t="shared" si="9"/>
        <v>0</v>
      </c>
      <c r="G32" s="429" t="s">
        <v>354</v>
      </c>
      <c r="H32" s="393"/>
      <c r="I32" s="359"/>
      <c r="J32" s="516">
        <f t="shared" si="10"/>
        <v>0</v>
      </c>
      <c r="K32" s="386" t="b">
        <f t="shared" si="3"/>
        <v>1</v>
      </c>
      <c r="L32" s="386" t="b">
        <f t="shared" si="3"/>
        <v>1</v>
      </c>
      <c r="M32" s="386"/>
      <c r="N32" s="521" t="b">
        <f t="shared" si="4"/>
        <v>0</v>
      </c>
      <c r="O32" s="522" t="b">
        <f t="shared" si="5"/>
        <v>0</v>
      </c>
      <c r="P32" s="409" t="b">
        <f t="shared" si="6"/>
        <v>0</v>
      </c>
      <c r="Q32" s="409" t="b">
        <f t="shared" si="7"/>
        <v>0</v>
      </c>
      <c r="R32" s="524" t="b">
        <f t="shared" si="8"/>
        <v>1</v>
      </c>
      <c r="S32" s="375"/>
    </row>
    <row r="33" spans="1:19" ht="39.950000000000003" customHeight="1" x14ac:dyDescent="0.2">
      <c r="A33" s="565"/>
      <c r="B33" s="407" t="s">
        <v>362</v>
      </c>
      <c r="C33" s="385" t="str">
        <f>VLOOKUP(B33,Notes!$E$3:$F$27,2,FALSE)</f>
        <v>OSC Use only</v>
      </c>
      <c r="D33" s="432"/>
      <c r="E33" s="433"/>
      <c r="F33" s="434">
        <f t="shared" si="9"/>
        <v>0</v>
      </c>
      <c r="G33" s="429" t="s">
        <v>354</v>
      </c>
      <c r="H33" s="393"/>
      <c r="I33" s="359"/>
      <c r="J33" s="516">
        <f t="shared" si="10"/>
        <v>0</v>
      </c>
      <c r="K33" s="386" t="b">
        <f t="shared" si="3"/>
        <v>1</v>
      </c>
      <c r="L33" s="386" t="b">
        <f t="shared" si="3"/>
        <v>1</v>
      </c>
      <c r="M33" s="386"/>
      <c r="N33" s="521" t="b">
        <f t="shared" si="4"/>
        <v>0</v>
      </c>
      <c r="O33" s="522" t="b">
        <f t="shared" si="5"/>
        <v>0</v>
      </c>
      <c r="P33" s="409" t="b">
        <f t="shared" si="6"/>
        <v>0</v>
      </c>
      <c r="Q33" s="409" t="b">
        <f t="shared" si="7"/>
        <v>0</v>
      </c>
      <c r="R33" s="524" t="b">
        <f t="shared" si="8"/>
        <v>1</v>
      </c>
      <c r="S33" s="375"/>
    </row>
    <row r="34" spans="1:19" ht="12.75" x14ac:dyDescent="0.2">
      <c r="B34" s="321" t="s">
        <v>363</v>
      </c>
      <c r="C34" s="348" t="s">
        <v>364</v>
      </c>
      <c r="D34" s="349"/>
      <c r="E34" s="349"/>
      <c r="F34" s="349"/>
      <c r="G34" s="325"/>
      <c r="H34" s="320"/>
      <c r="I34" s="362"/>
      <c r="J34" s="516"/>
      <c r="K34" s="516"/>
      <c r="L34" s="516"/>
      <c r="M34" s="516"/>
      <c r="N34" s="521"/>
      <c r="O34" s="521"/>
      <c r="P34" s="523"/>
      <c r="Q34" s="523"/>
      <c r="R34" s="524"/>
      <c r="S34" s="375"/>
    </row>
    <row r="35" spans="1:19" ht="39.950000000000003" customHeight="1" x14ac:dyDescent="0.2">
      <c r="A35" s="565" t="s">
        <v>365</v>
      </c>
      <c r="B35" s="407" t="s">
        <v>362</v>
      </c>
      <c r="C35" s="385" t="str">
        <f>VLOOKUP(B35,Notes!$E$29:$F$839,2,FALSE)</f>
        <v>OSC Use only</v>
      </c>
      <c r="D35" s="432"/>
      <c r="E35" s="433"/>
      <c r="F35" s="434">
        <f>+D35+E35</f>
        <v>0</v>
      </c>
      <c r="G35" s="429" t="s">
        <v>354</v>
      </c>
      <c r="H35" s="323"/>
      <c r="I35" s="359"/>
      <c r="J35" s="516">
        <f t="shared" ref="J35:J37" si="11">COUNTIF(K35:L35,FALSE)</f>
        <v>0</v>
      </c>
      <c r="K35" s="386" t="b">
        <f t="shared" ref="K35:L42" si="12">ISBLANK(D35)</f>
        <v>1</v>
      </c>
      <c r="L35" s="386" t="b">
        <f t="shared" si="12"/>
        <v>1</v>
      </c>
      <c r="M35" s="386"/>
      <c r="N35" s="521" t="b">
        <f t="shared" ref="N35:N42" si="13">IF(E35&lt;&gt;0,IF(B35="Select an account",NOT(ISBLANK(B35)),ISBLANK(B35)))</f>
        <v>0</v>
      </c>
      <c r="O35" s="522" t="b">
        <f t="shared" ref="O35:O42" si="14">IF(E35=0,IF(B35="Select an account",ISBLANK(B35),NOT(ISBLANK(B35))))</f>
        <v>0</v>
      </c>
      <c r="P35" s="409" t="b">
        <f t="shared" ref="P35:P42" si="15">IF(E35&lt;&gt;0,IF(G35="Select Reason",NOT(ISBLANK(G35)),ISBLANK(G35)))</f>
        <v>0</v>
      </c>
      <c r="Q35" s="523" t="b">
        <f t="shared" ref="Q35:Q42" si="16">IF(E35=0,IF(G35="Select Reason",ISBLANK(G35),NOT(ISBLANK(G35))))</f>
        <v>0</v>
      </c>
      <c r="R35" s="524" t="b">
        <f t="shared" ref="R35:R42" si="17">IF(E35=0,ISBLANK(H35),NOT(ISBLANK(H35)))</f>
        <v>1</v>
      </c>
      <c r="S35" s="375"/>
    </row>
    <row r="36" spans="1:19" ht="39.950000000000003" customHeight="1" x14ac:dyDescent="0.2">
      <c r="A36" s="565"/>
      <c r="B36" s="407" t="s">
        <v>362</v>
      </c>
      <c r="C36" s="385" t="str">
        <f>VLOOKUP(B36,Notes!$E$29:$F$839,2,FALSE)</f>
        <v>OSC Use only</v>
      </c>
      <c r="D36" s="432"/>
      <c r="E36" s="433"/>
      <c r="F36" s="434">
        <f>+D36+E36</f>
        <v>0</v>
      </c>
      <c r="G36" s="429" t="s">
        <v>354</v>
      </c>
      <c r="H36" s="393"/>
      <c r="I36" s="359"/>
      <c r="J36" s="516">
        <f t="shared" si="11"/>
        <v>0</v>
      </c>
      <c r="K36" s="386" t="b">
        <f t="shared" si="12"/>
        <v>1</v>
      </c>
      <c r="L36" s="386" t="b">
        <f t="shared" si="12"/>
        <v>1</v>
      </c>
      <c r="M36" s="386"/>
      <c r="N36" s="521" t="b">
        <f t="shared" si="13"/>
        <v>0</v>
      </c>
      <c r="O36" s="522" t="b">
        <f t="shared" si="14"/>
        <v>0</v>
      </c>
      <c r="P36" s="409" t="b">
        <f t="shared" si="15"/>
        <v>0</v>
      </c>
      <c r="Q36" s="523" t="b">
        <f t="shared" si="16"/>
        <v>0</v>
      </c>
      <c r="R36" s="524" t="b">
        <f t="shared" si="17"/>
        <v>1</v>
      </c>
      <c r="S36" s="375"/>
    </row>
    <row r="37" spans="1:19" ht="39.950000000000003" customHeight="1" x14ac:dyDescent="0.2">
      <c r="A37" s="565"/>
      <c r="B37" s="407" t="s">
        <v>362</v>
      </c>
      <c r="C37" s="385" t="str">
        <f>VLOOKUP(B37,Notes!$E$29:$F$839,2,FALSE)</f>
        <v>OSC Use only</v>
      </c>
      <c r="D37" s="432"/>
      <c r="E37" s="435"/>
      <c r="F37" s="434">
        <f>+D37+E37</f>
        <v>0</v>
      </c>
      <c r="G37" s="429" t="s">
        <v>354</v>
      </c>
      <c r="H37" s="393"/>
      <c r="I37" s="359"/>
      <c r="J37" s="516">
        <f t="shared" si="11"/>
        <v>0</v>
      </c>
      <c r="K37" s="386" t="b">
        <f t="shared" si="12"/>
        <v>1</v>
      </c>
      <c r="L37" s="386" t="b">
        <f t="shared" si="12"/>
        <v>1</v>
      </c>
      <c r="M37" s="386"/>
      <c r="N37" s="521" t="b">
        <f t="shared" si="13"/>
        <v>0</v>
      </c>
      <c r="O37" s="522" t="b">
        <f t="shared" si="14"/>
        <v>0</v>
      </c>
      <c r="P37" s="409" t="b">
        <f t="shared" si="15"/>
        <v>0</v>
      </c>
      <c r="Q37" s="523" t="b">
        <f t="shared" si="16"/>
        <v>0</v>
      </c>
      <c r="R37" s="524" t="b">
        <f t="shared" si="17"/>
        <v>1</v>
      </c>
      <c r="S37" s="375"/>
    </row>
    <row r="38" spans="1:19" ht="39.950000000000003" customHeight="1" x14ac:dyDescent="0.2">
      <c r="A38" s="565"/>
      <c r="B38" s="407" t="s">
        <v>362</v>
      </c>
      <c r="C38" s="385" t="str">
        <f>VLOOKUP(B38,Notes!$E$29:$F$839,2,FALSE)</f>
        <v>OSC Use only</v>
      </c>
      <c r="D38" s="432"/>
      <c r="E38" s="433"/>
      <c r="F38" s="434">
        <f t="shared" ref="F38:F42" si="18">+D38+E38</f>
        <v>0</v>
      </c>
      <c r="G38" s="429" t="s">
        <v>354</v>
      </c>
      <c r="H38" s="393"/>
      <c r="I38" s="359"/>
      <c r="J38" s="516">
        <f t="shared" ref="J38:J42" si="19">COUNTIF(K38:L38,FALSE)</f>
        <v>0</v>
      </c>
      <c r="K38" s="386" t="b">
        <f t="shared" si="12"/>
        <v>1</v>
      </c>
      <c r="L38" s="386" t="b">
        <f t="shared" si="12"/>
        <v>1</v>
      </c>
      <c r="M38" s="386"/>
      <c r="N38" s="521" t="b">
        <f t="shared" si="13"/>
        <v>0</v>
      </c>
      <c r="O38" s="522" t="b">
        <f t="shared" si="14"/>
        <v>0</v>
      </c>
      <c r="P38" s="409" t="b">
        <f t="shared" si="15"/>
        <v>0</v>
      </c>
      <c r="Q38" s="523" t="b">
        <f t="shared" si="16"/>
        <v>0</v>
      </c>
      <c r="R38" s="524" t="b">
        <f t="shared" si="17"/>
        <v>1</v>
      </c>
      <c r="S38" s="375"/>
    </row>
    <row r="39" spans="1:19" ht="39.950000000000003" customHeight="1" x14ac:dyDescent="0.2">
      <c r="A39" s="565"/>
      <c r="B39" s="407" t="s">
        <v>362</v>
      </c>
      <c r="C39" s="385" t="str">
        <f>VLOOKUP(B39,Notes!$E$29:$F$839,2,FALSE)</f>
        <v>OSC Use only</v>
      </c>
      <c r="D39" s="432"/>
      <c r="E39" s="433"/>
      <c r="F39" s="434">
        <f t="shared" si="18"/>
        <v>0</v>
      </c>
      <c r="G39" s="429" t="s">
        <v>354</v>
      </c>
      <c r="H39" s="393"/>
      <c r="I39" s="359"/>
      <c r="J39" s="516">
        <f t="shared" si="19"/>
        <v>0</v>
      </c>
      <c r="K39" s="386" t="b">
        <f t="shared" si="12"/>
        <v>1</v>
      </c>
      <c r="L39" s="386" t="b">
        <f t="shared" si="12"/>
        <v>1</v>
      </c>
      <c r="M39" s="386"/>
      <c r="N39" s="521" t="b">
        <f t="shared" si="13"/>
        <v>0</v>
      </c>
      <c r="O39" s="522" t="b">
        <f t="shared" si="14"/>
        <v>0</v>
      </c>
      <c r="P39" s="409" t="b">
        <f t="shared" si="15"/>
        <v>0</v>
      </c>
      <c r="Q39" s="523" t="b">
        <f t="shared" si="16"/>
        <v>0</v>
      </c>
      <c r="R39" s="524" t="b">
        <f t="shared" si="17"/>
        <v>1</v>
      </c>
      <c r="S39" s="375"/>
    </row>
    <row r="40" spans="1:19" ht="39.950000000000003" customHeight="1" x14ac:dyDescent="0.2">
      <c r="A40" s="565"/>
      <c r="B40" s="407" t="s">
        <v>362</v>
      </c>
      <c r="C40" s="385" t="str">
        <f>VLOOKUP(B40,Notes!$E$29:$F$839,2,FALSE)</f>
        <v>OSC Use only</v>
      </c>
      <c r="D40" s="432"/>
      <c r="E40" s="435"/>
      <c r="F40" s="434">
        <f t="shared" si="18"/>
        <v>0</v>
      </c>
      <c r="G40" s="429" t="s">
        <v>354</v>
      </c>
      <c r="H40" s="393"/>
      <c r="I40" s="359"/>
      <c r="J40" s="516">
        <f t="shared" si="19"/>
        <v>0</v>
      </c>
      <c r="K40" s="386" t="b">
        <f t="shared" si="12"/>
        <v>1</v>
      </c>
      <c r="L40" s="386" t="b">
        <f t="shared" si="12"/>
        <v>1</v>
      </c>
      <c r="M40" s="386"/>
      <c r="N40" s="521" t="b">
        <f t="shared" si="13"/>
        <v>0</v>
      </c>
      <c r="O40" s="522" t="b">
        <f t="shared" si="14"/>
        <v>0</v>
      </c>
      <c r="P40" s="409" t="b">
        <f t="shared" si="15"/>
        <v>0</v>
      </c>
      <c r="Q40" s="523" t="b">
        <f t="shared" si="16"/>
        <v>0</v>
      </c>
      <c r="R40" s="524" t="b">
        <f t="shared" si="17"/>
        <v>1</v>
      </c>
      <c r="S40" s="375"/>
    </row>
    <row r="41" spans="1:19" ht="39.950000000000003" customHeight="1" x14ac:dyDescent="0.2">
      <c r="A41" s="565"/>
      <c r="B41" s="407" t="s">
        <v>362</v>
      </c>
      <c r="C41" s="385" t="str">
        <f>VLOOKUP(B41,Notes!$E$29:$F$839,2,FALSE)</f>
        <v>OSC Use only</v>
      </c>
      <c r="D41" s="432"/>
      <c r="E41" s="433"/>
      <c r="F41" s="434">
        <f t="shared" si="18"/>
        <v>0</v>
      </c>
      <c r="G41" s="429" t="s">
        <v>354</v>
      </c>
      <c r="H41" s="393"/>
      <c r="I41" s="359"/>
      <c r="J41" s="516">
        <f t="shared" si="19"/>
        <v>0</v>
      </c>
      <c r="K41" s="386" t="b">
        <f t="shared" si="12"/>
        <v>1</v>
      </c>
      <c r="L41" s="386" t="b">
        <f t="shared" si="12"/>
        <v>1</v>
      </c>
      <c r="M41" s="386"/>
      <c r="N41" s="521" t="b">
        <f t="shared" si="13"/>
        <v>0</v>
      </c>
      <c r="O41" s="522" t="b">
        <f t="shared" si="14"/>
        <v>0</v>
      </c>
      <c r="P41" s="409" t="b">
        <f t="shared" si="15"/>
        <v>0</v>
      </c>
      <c r="Q41" s="523" t="b">
        <f t="shared" si="16"/>
        <v>0</v>
      </c>
      <c r="R41" s="524" t="b">
        <f t="shared" si="17"/>
        <v>1</v>
      </c>
      <c r="S41" s="375"/>
    </row>
    <row r="42" spans="1:19" ht="39.950000000000003" customHeight="1" thickBot="1" x14ac:dyDescent="0.25">
      <c r="A42" s="565"/>
      <c r="B42" s="407" t="s">
        <v>362</v>
      </c>
      <c r="C42" s="385" t="str">
        <f>VLOOKUP(B42,Notes!$E$29:$F$839,2,FALSE)</f>
        <v>OSC Use only</v>
      </c>
      <c r="D42" s="432"/>
      <c r="E42" s="433"/>
      <c r="F42" s="434">
        <f t="shared" si="18"/>
        <v>0</v>
      </c>
      <c r="G42" s="429" t="s">
        <v>354</v>
      </c>
      <c r="H42" s="393"/>
      <c r="I42" s="359"/>
      <c r="J42" s="516">
        <f t="shared" si="19"/>
        <v>0</v>
      </c>
      <c r="K42" s="386" t="b">
        <f t="shared" si="12"/>
        <v>1</v>
      </c>
      <c r="L42" s="386" t="b">
        <f t="shared" si="12"/>
        <v>1</v>
      </c>
      <c r="M42" s="386"/>
      <c r="N42" s="521" t="b">
        <f t="shared" si="13"/>
        <v>0</v>
      </c>
      <c r="O42" s="522" t="b">
        <f t="shared" si="14"/>
        <v>0</v>
      </c>
      <c r="P42" s="409" t="b">
        <f t="shared" si="15"/>
        <v>0</v>
      </c>
      <c r="Q42" s="523" t="b">
        <f t="shared" si="16"/>
        <v>0</v>
      </c>
      <c r="R42" s="524" t="b">
        <f t="shared" si="17"/>
        <v>1</v>
      </c>
      <c r="S42" s="375"/>
    </row>
    <row r="43" spans="1:19" ht="18.75" thickBot="1" x14ac:dyDescent="0.25">
      <c r="B43" s="575" t="s">
        <v>366</v>
      </c>
      <c r="C43" s="575"/>
      <c r="D43" s="576"/>
      <c r="E43" s="402">
        <f>SUM(E26:E33)-SUM(E35:E42)</f>
        <v>0</v>
      </c>
      <c r="F43" s="418" t="str">
        <f>IF(E43&lt;&gt;0,"Ensure Balance Sheet Change Equals Operating Statement Change","")</f>
        <v/>
      </c>
      <c r="G43" s="367"/>
      <c r="H43" s="367"/>
      <c r="I43" s="359"/>
      <c r="J43" s="516"/>
      <c r="K43" s="386"/>
      <c r="L43" s="386"/>
      <c r="M43" s="386"/>
      <c r="N43" s="521"/>
      <c r="O43" s="522"/>
      <c r="P43" s="409"/>
      <c r="Q43" s="523"/>
      <c r="R43" s="524"/>
      <c r="S43" s="375"/>
    </row>
    <row r="44" spans="1:19" ht="12.75" x14ac:dyDescent="0.2">
      <c r="B44" s="321" t="s">
        <v>310</v>
      </c>
      <c r="C44" s="348" t="s">
        <v>367</v>
      </c>
      <c r="D44" s="349"/>
      <c r="E44" s="394"/>
      <c r="F44" s="349"/>
      <c r="G44" s="325"/>
      <c r="H44" s="322"/>
      <c r="I44" s="361"/>
      <c r="J44" s="516"/>
      <c r="K44" s="516"/>
      <c r="L44" s="516"/>
      <c r="M44" s="516"/>
      <c r="N44" s="521"/>
      <c r="O44" s="521"/>
      <c r="P44" s="523"/>
      <c r="Q44" s="523"/>
      <c r="R44" s="524"/>
      <c r="S44" s="375"/>
    </row>
    <row r="45" spans="1:19" ht="39.950000000000003" customHeight="1" x14ac:dyDescent="0.2">
      <c r="A45" s="565" t="s">
        <v>368</v>
      </c>
      <c r="B45" s="407" t="s">
        <v>362</v>
      </c>
      <c r="C45" s="385" t="str">
        <f>VLOOKUP(B45,Notes!$E$59:$F$68,2,FALSE)</f>
        <v>OSC Use only</v>
      </c>
      <c r="D45" s="432"/>
      <c r="E45" s="433"/>
      <c r="F45" s="434">
        <f>+D45+E45</f>
        <v>0</v>
      </c>
      <c r="G45" s="429" t="s">
        <v>354</v>
      </c>
      <c r="H45" s="393"/>
      <c r="I45" s="359"/>
      <c r="J45" s="516">
        <f t="shared" ref="J45:J47" si="20">COUNTIF(K45:L45,FALSE)</f>
        <v>0</v>
      </c>
      <c r="K45" s="386" t="b">
        <f t="shared" ref="K45:L52" si="21">ISBLANK(D45)</f>
        <v>1</v>
      </c>
      <c r="L45" s="386" t="b">
        <f t="shared" si="21"/>
        <v>1</v>
      </c>
      <c r="M45" s="386"/>
      <c r="N45" s="521" t="b">
        <f t="shared" ref="N45:N52" si="22">IF(E45&lt;&gt;0,IF(B45="Select an account",NOT(ISBLANK(B45)),ISBLANK(B45)))</f>
        <v>0</v>
      </c>
      <c r="O45" s="522" t="b">
        <f t="shared" ref="O45:O52" si="23">IF(E45=0,IF(B45="Select an account",ISBLANK(B45),NOT(ISBLANK(B45))))</f>
        <v>0</v>
      </c>
      <c r="P45" s="409" t="b">
        <f t="shared" ref="P45:P52" si="24">IF(E45&lt;&gt;0,IF(G45="Select Reason",NOT(ISBLANK(G45)),ISBLANK(G45)))</f>
        <v>0</v>
      </c>
      <c r="Q45" s="523" t="b">
        <f t="shared" ref="Q45:Q52" si="25">IF(E45=0,IF(G45="Select Reason",ISBLANK(G45),NOT(ISBLANK(G45))))</f>
        <v>0</v>
      </c>
      <c r="R45" s="524" t="b">
        <f t="shared" ref="R45:R52" si="26">IF(E45=0,ISBLANK(H45),NOT(ISBLANK(H45)))</f>
        <v>1</v>
      </c>
      <c r="S45" s="375"/>
    </row>
    <row r="46" spans="1:19" ht="39.950000000000003" customHeight="1" x14ac:dyDescent="0.2">
      <c r="A46" s="565"/>
      <c r="B46" s="407" t="s">
        <v>362</v>
      </c>
      <c r="C46" s="385" t="str">
        <f>VLOOKUP(B46,Notes!$E$59:$F$68,2,FALSE)</f>
        <v>OSC Use only</v>
      </c>
      <c r="D46" s="432"/>
      <c r="E46" s="433"/>
      <c r="F46" s="434">
        <f>+D46+E46</f>
        <v>0</v>
      </c>
      <c r="G46" s="429" t="s">
        <v>354</v>
      </c>
      <c r="H46" s="393"/>
      <c r="I46" s="359"/>
      <c r="J46" s="516">
        <f t="shared" si="20"/>
        <v>0</v>
      </c>
      <c r="K46" s="386" t="b">
        <f t="shared" si="21"/>
        <v>1</v>
      </c>
      <c r="L46" s="386" t="b">
        <f t="shared" si="21"/>
        <v>1</v>
      </c>
      <c r="M46" s="386"/>
      <c r="N46" s="521" t="b">
        <f t="shared" si="22"/>
        <v>0</v>
      </c>
      <c r="O46" s="522" t="b">
        <f t="shared" si="23"/>
        <v>0</v>
      </c>
      <c r="P46" s="409" t="b">
        <f t="shared" si="24"/>
        <v>0</v>
      </c>
      <c r="Q46" s="523" t="b">
        <f t="shared" si="25"/>
        <v>0</v>
      </c>
      <c r="R46" s="524" t="b">
        <f t="shared" si="26"/>
        <v>1</v>
      </c>
      <c r="S46" s="375"/>
    </row>
    <row r="47" spans="1:19" ht="39.950000000000003" customHeight="1" x14ac:dyDescent="0.2">
      <c r="A47" s="565"/>
      <c r="B47" s="407" t="s">
        <v>362</v>
      </c>
      <c r="C47" s="385" t="str">
        <f>VLOOKUP(B47,Notes!$E$59:$F$68,2,FALSE)</f>
        <v>OSC Use only</v>
      </c>
      <c r="D47" s="432"/>
      <c r="E47" s="433"/>
      <c r="F47" s="434">
        <f>+D47+E47</f>
        <v>0</v>
      </c>
      <c r="G47" s="429" t="s">
        <v>354</v>
      </c>
      <c r="H47" s="393"/>
      <c r="I47" s="359"/>
      <c r="J47" s="516">
        <f t="shared" si="20"/>
        <v>0</v>
      </c>
      <c r="K47" s="386" t="b">
        <f t="shared" si="21"/>
        <v>1</v>
      </c>
      <c r="L47" s="386" t="b">
        <f t="shared" si="21"/>
        <v>1</v>
      </c>
      <c r="M47" s="386"/>
      <c r="N47" s="521" t="b">
        <f t="shared" si="22"/>
        <v>0</v>
      </c>
      <c r="O47" s="522" t="b">
        <f t="shared" si="23"/>
        <v>0</v>
      </c>
      <c r="P47" s="409" t="b">
        <f t="shared" si="24"/>
        <v>0</v>
      </c>
      <c r="Q47" s="523" t="b">
        <f t="shared" si="25"/>
        <v>0</v>
      </c>
      <c r="R47" s="524" t="b">
        <f t="shared" si="26"/>
        <v>1</v>
      </c>
      <c r="S47" s="375"/>
    </row>
    <row r="48" spans="1:19" ht="39.950000000000003" customHeight="1" x14ac:dyDescent="0.2">
      <c r="A48" s="565"/>
      <c r="B48" s="407" t="s">
        <v>362</v>
      </c>
      <c r="C48" s="385" t="str">
        <f>VLOOKUP(B48,Notes!$E$59:$F$68,2,FALSE)</f>
        <v>OSC Use only</v>
      </c>
      <c r="D48" s="432"/>
      <c r="E48" s="433"/>
      <c r="F48" s="434">
        <f t="shared" ref="F48:F51" si="27">+D48+E48</f>
        <v>0</v>
      </c>
      <c r="G48" s="429" t="s">
        <v>354</v>
      </c>
      <c r="H48" s="393"/>
      <c r="I48" s="359"/>
      <c r="J48" s="516">
        <f t="shared" ref="J48:J52" si="28">COUNTIF(K48:L48,FALSE)</f>
        <v>0</v>
      </c>
      <c r="K48" s="386" t="b">
        <f t="shared" si="21"/>
        <v>1</v>
      </c>
      <c r="L48" s="386" t="b">
        <f t="shared" si="21"/>
        <v>1</v>
      </c>
      <c r="M48" s="386"/>
      <c r="N48" s="521" t="b">
        <f t="shared" si="22"/>
        <v>0</v>
      </c>
      <c r="O48" s="522" t="b">
        <f t="shared" si="23"/>
        <v>0</v>
      </c>
      <c r="P48" s="409" t="b">
        <f t="shared" si="24"/>
        <v>0</v>
      </c>
      <c r="Q48" s="523" t="b">
        <f t="shared" si="25"/>
        <v>0</v>
      </c>
      <c r="R48" s="524" t="b">
        <f t="shared" si="26"/>
        <v>1</v>
      </c>
      <c r="S48" s="375"/>
    </row>
    <row r="49" spans="1:19" ht="39.950000000000003" customHeight="1" x14ac:dyDescent="0.2">
      <c r="A49" s="565"/>
      <c r="B49" s="407" t="s">
        <v>362</v>
      </c>
      <c r="C49" s="385" t="str">
        <f>VLOOKUP(B49,Notes!$E$59:$F$68,2,FALSE)</f>
        <v>OSC Use only</v>
      </c>
      <c r="D49" s="432"/>
      <c r="E49" s="433"/>
      <c r="F49" s="434">
        <f t="shared" si="27"/>
        <v>0</v>
      </c>
      <c r="G49" s="429" t="s">
        <v>354</v>
      </c>
      <c r="H49" s="393"/>
      <c r="I49" s="359"/>
      <c r="J49" s="516">
        <f t="shared" si="28"/>
        <v>0</v>
      </c>
      <c r="K49" s="386" t="b">
        <f t="shared" si="21"/>
        <v>1</v>
      </c>
      <c r="L49" s="386" t="b">
        <f t="shared" si="21"/>
        <v>1</v>
      </c>
      <c r="M49" s="386"/>
      <c r="N49" s="521" t="b">
        <f t="shared" si="22"/>
        <v>0</v>
      </c>
      <c r="O49" s="522" t="b">
        <f t="shared" si="23"/>
        <v>0</v>
      </c>
      <c r="P49" s="409" t="b">
        <f t="shared" si="24"/>
        <v>0</v>
      </c>
      <c r="Q49" s="523" t="b">
        <f t="shared" si="25"/>
        <v>0</v>
      </c>
      <c r="R49" s="524" t="b">
        <f t="shared" si="26"/>
        <v>1</v>
      </c>
      <c r="S49" s="375"/>
    </row>
    <row r="50" spans="1:19" ht="39.950000000000003" customHeight="1" x14ac:dyDescent="0.2">
      <c r="A50" s="565"/>
      <c r="B50" s="407" t="s">
        <v>362</v>
      </c>
      <c r="C50" s="385" t="str">
        <f>VLOOKUP(B50,Notes!$E$59:$F$68,2,FALSE)</f>
        <v>OSC Use only</v>
      </c>
      <c r="D50" s="432"/>
      <c r="E50" s="433"/>
      <c r="F50" s="434">
        <f t="shared" si="27"/>
        <v>0</v>
      </c>
      <c r="G50" s="429" t="s">
        <v>354</v>
      </c>
      <c r="H50" s="393"/>
      <c r="I50" s="359"/>
      <c r="J50" s="516">
        <f t="shared" si="28"/>
        <v>0</v>
      </c>
      <c r="K50" s="386" t="b">
        <f t="shared" si="21"/>
        <v>1</v>
      </c>
      <c r="L50" s="386" t="b">
        <f t="shared" si="21"/>
        <v>1</v>
      </c>
      <c r="M50" s="386"/>
      <c r="N50" s="521" t="b">
        <f t="shared" si="22"/>
        <v>0</v>
      </c>
      <c r="O50" s="522" t="b">
        <f t="shared" si="23"/>
        <v>0</v>
      </c>
      <c r="P50" s="409" t="b">
        <f t="shared" si="24"/>
        <v>0</v>
      </c>
      <c r="Q50" s="523" t="b">
        <f t="shared" si="25"/>
        <v>0</v>
      </c>
      <c r="R50" s="524" t="b">
        <f t="shared" si="26"/>
        <v>1</v>
      </c>
      <c r="S50" s="375"/>
    </row>
    <row r="51" spans="1:19" ht="39.950000000000003" customHeight="1" x14ac:dyDescent="0.2">
      <c r="A51" s="565"/>
      <c r="B51" s="407" t="s">
        <v>362</v>
      </c>
      <c r="C51" s="385" t="str">
        <f>VLOOKUP(B51,Notes!$E$59:$F$68,2,FALSE)</f>
        <v>OSC Use only</v>
      </c>
      <c r="D51" s="432"/>
      <c r="E51" s="433"/>
      <c r="F51" s="434">
        <f t="shared" si="27"/>
        <v>0</v>
      </c>
      <c r="G51" s="429" t="s">
        <v>354</v>
      </c>
      <c r="H51" s="393"/>
      <c r="I51" s="359"/>
      <c r="J51" s="516">
        <f t="shared" si="28"/>
        <v>0</v>
      </c>
      <c r="K51" s="386" t="b">
        <f t="shared" si="21"/>
        <v>1</v>
      </c>
      <c r="L51" s="386" t="b">
        <f t="shared" si="21"/>
        <v>1</v>
      </c>
      <c r="M51" s="386"/>
      <c r="N51" s="521" t="b">
        <f t="shared" si="22"/>
        <v>0</v>
      </c>
      <c r="O51" s="522" t="b">
        <f t="shared" si="23"/>
        <v>0</v>
      </c>
      <c r="P51" s="409" t="b">
        <f t="shared" si="24"/>
        <v>0</v>
      </c>
      <c r="Q51" s="523" t="b">
        <f t="shared" si="25"/>
        <v>0</v>
      </c>
      <c r="R51" s="524" t="b">
        <f t="shared" si="26"/>
        <v>1</v>
      </c>
      <c r="S51" s="375"/>
    </row>
    <row r="52" spans="1:19" ht="39.950000000000003" customHeight="1" x14ac:dyDescent="0.2">
      <c r="A52" s="565"/>
      <c r="B52" s="407" t="s">
        <v>362</v>
      </c>
      <c r="C52" s="385" t="str">
        <f>VLOOKUP(B52,Notes!$E$59:$F$68,2,FALSE)</f>
        <v>OSC Use only</v>
      </c>
      <c r="D52" s="432"/>
      <c r="E52" s="433"/>
      <c r="F52" s="434">
        <f>+D52+E52</f>
        <v>0</v>
      </c>
      <c r="G52" s="429" t="s">
        <v>354</v>
      </c>
      <c r="H52" s="393"/>
      <c r="I52" s="359"/>
      <c r="J52" s="516">
        <f t="shared" si="28"/>
        <v>0</v>
      </c>
      <c r="K52" s="386" t="b">
        <f t="shared" si="21"/>
        <v>1</v>
      </c>
      <c r="L52" s="386" t="b">
        <f t="shared" si="21"/>
        <v>1</v>
      </c>
      <c r="M52" s="386"/>
      <c r="N52" s="521" t="b">
        <f t="shared" si="22"/>
        <v>0</v>
      </c>
      <c r="O52" s="522" t="b">
        <f t="shared" si="23"/>
        <v>0</v>
      </c>
      <c r="P52" s="409" t="b">
        <f t="shared" si="24"/>
        <v>0</v>
      </c>
      <c r="Q52" s="523" t="b">
        <f t="shared" si="25"/>
        <v>0</v>
      </c>
      <c r="R52" s="524" t="b">
        <f t="shared" si="26"/>
        <v>1</v>
      </c>
      <c r="S52" s="375"/>
    </row>
    <row r="53" spans="1:19" ht="12.75" x14ac:dyDescent="0.2">
      <c r="B53" s="321" t="s">
        <v>315</v>
      </c>
      <c r="C53" s="348" t="s">
        <v>369</v>
      </c>
      <c r="D53" s="349"/>
      <c r="E53" s="349"/>
      <c r="F53" s="349"/>
      <c r="G53" s="325"/>
      <c r="H53" s="322"/>
      <c r="I53" s="361"/>
      <c r="J53" s="516"/>
      <c r="K53" s="516"/>
      <c r="L53" s="516"/>
      <c r="M53" s="516"/>
      <c r="N53" s="521"/>
      <c r="O53" s="521"/>
      <c r="P53" s="523"/>
      <c r="Q53" s="523"/>
      <c r="R53" s="524"/>
      <c r="S53" s="375"/>
    </row>
    <row r="54" spans="1:19" ht="39.950000000000003" customHeight="1" x14ac:dyDescent="0.2">
      <c r="A54" s="565" t="s">
        <v>370</v>
      </c>
      <c r="B54" s="408" t="s">
        <v>362</v>
      </c>
      <c r="C54" s="385" t="str">
        <f>VLOOKUP(B54,Notes!$E$74:$F$78,2,FALSE)</f>
        <v>OSC Use only</v>
      </c>
      <c r="D54" s="432"/>
      <c r="E54" s="433"/>
      <c r="F54" s="434">
        <f>+D54+E54</f>
        <v>0</v>
      </c>
      <c r="G54" s="429" t="s">
        <v>354</v>
      </c>
      <c r="H54" s="323"/>
      <c r="I54" s="359"/>
      <c r="J54" s="516">
        <f t="shared" ref="J54:J56" si="29">COUNTIF(K54:L54,FALSE)</f>
        <v>0</v>
      </c>
      <c r="K54" s="386" t="b">
        <f t="shared" ref="K54:L61" si="30">ISBLANK(D54)</f>
        <v>1</v>
      </c>
      <c r="L54" s="386" t="b">
        <f t="shared" si="30"/>
        <v>1</v>
      </c>
      <c r="M54" s="386"/>
      <c r="N54" s="521" t="b">
        <f t="shared" ref="N54:N61" si="31">IF(E54&lt;&gt;0,IF(B54="Select an account",NOT(ISBLANK(B54)),ISBLANK(B54)))</f>
        <v>0</v>
      </c>
      <c r="O54" s="522" t="b">
        <f t="shared" ref="O54:O61" si="32">IF(E54=0,IF(B54="Select an account",ISBLANK(B54),NOT(ISBLANK(B54))))</f>
        <v>0</v>
      </c>
      <c r="P54" s="409" t="b">
        <f t="shared" ref="P54:P61" si="33">IF(E54&lt;&gt;0,IF(G54="Select Reason",NOT(ISBLANK(G54)),ISBLANK(G54)))</f>
        <v>0</v>
      </c>
      <c r="Q54" s="523" t="b">
        <f t="shared" ref="Q54:Q61" si="34">IF(E54=0,IF(G54="Select Reason",ISBLANK(G54),NOT(ISBLANK(G54))))</f>
        <v>0</v>
      </c>
      <c r="R54" s="524" t="b">
        <f t="shared" ref="R54:R61" si="35">IF(E54=0,ISBLANK(H54),NOT(ISBLANK(H54)))</f>
        <v>1</v>
      </c>
      <c r="S54" s="375"/>
    </row>
    <row r="55" spans="1:19" ht="39.950000000000003" customHeight="1" x14ac:dyDescent="0.2">
      <c r="A55" s="565"/>
      <c r="B55" s="408" t="s">
        <v>362</v>
      </c>
      <c r="C55" s="385" t="str">
        <f>VLOOKUP(B55,Notes!$E$74:$F$78,2,FALSE)</f>
        <v>OSC Use only</v>
      </c>
      <c r="D55" s="432"/>
      <c r="E55" s="433"/>
      <c r="F55" s="434">
        <f>+D55+E55</f>
        <v>0</v>
      </c>
      <c r="G55" s="429" t="s">
        <v>354</v>
      </c>
      <c r="H55" s="323"/>
      <c r="I55" s="359"/>
      <c r="J55" s="516">
        <f t="shared" si="29"/>
        <v>0</v>
      </c>
      <c r="K55" s="386" t="b">
        <f t="shared" si="30"/>
        <v>1</v>
      </c>
      <c r="L55" s="386" t="b">
        <f t="shared" si="30"/>
        <v>1</v>
      </c>
      <c r="M55" s="386"/>
      <c r="N55" s="521" t="b">
        <f t="shared" si="31"/>
        <v>0</v>
      </c>
      <c r="O55" s="522" t="b">
        <f t="shared" si="32"/>
        <v>0</v>
      </c>
      <c r="P55" s="409" t="b">
        <f t="shared" si="33"/>
        <v>0</v>
      </c>
      <c r="Q55" s="523" t="b">
        <f t="shared" si="34"/>
        <v>0</v>
      </c>
      <c r="R55" s="524" t="b">
        <f t="shared" si="35"/>
        <v>1</v>
      </c>
      <c r="S55" s="375"/>
    </row>
    <row r="56" spans="1:19" ht="39.950000000000003" customHeight="1" x14ac:dyDescent="0.2">
      <c r="A56" s="565"/>
      <c r="B56" s="408" t="s">
        <v>362</v>
      </c>
      <c r="C56" s="406" t="str">
        <f>VLOOKUP(B56,Notes!$E$74:$F$78,2,FALSE)</f>
        <v>OSC Use only</v>
      </c>
      <c r="D56" s="436"/>
      <c r="E56" s="435"/>
      <c r="F56" s="437">
        <f>+D56+E56</f>
        <v>0</v>
      </c>
      <c r="G56" s="429" t="s">
        <v>354</v>
      </c>
      <c r="H56" s="323"/>
      <c r="I56" s="359"/>
      <c r="J56" s="516">
        <f t="shared" si="29"/>
        <v>0</v>
      </c>
      <c r="K56" s="386" t="b">
        <f t="shared" si="30"/>
        <v>1</v>
      </c>
      <c r="L56" s="386" t="b">
        <f t="shared" si="30"/>
        <v>1</v>
      </c>
      <c r="M56" s="386"/>
      <c r="N56" s="521" t="b">
        <f t="shared" si="31"/>
        <v>0</v>
      </c>
      <c r="O56" s="522" t="b">
        <f t="shared" si="32"/>
        <v>0</v>
      </c>
      <c r="P56" s="409" t="b">
        <f t="shared" si="33"/>
        <v>0</v>
      </c>
      <c r="Q56" s="523" t="b">
        <f t="shared" si="34"/>
        <v>0</v>
      </c>
      <c r="R56" s="524" t="b">
        <f t="shared" si="35"/>
        <v>1</v>
      </c>
      <c r="S56" s="375"/>
    </row>
    <row r="57" spans="1:19" ht="39.950000000000003" customHeight="1" x14ac:dyDescent="0.2">
      <c r="A57" s="565"/>
      <c r="B57" s="408" t="s">
        <v>362</v>
      </c>
      <c r="C57" s="406" t="str">
        <f>VLOOKUP(B57,Notes!$E$74:$F$78,2,FALSE)</f>
        <v>OSC Use only</v>
      </c>
      <c r="D57" s="432"/>
      <c r="E57" s="433"/>
      <c r="F57" s="437">
        <f t="shared" ref="F57:F61" si="36">+D57+E57</f>
        <v>0</v>
      </c>
      <c r="G57" s="429" t="s">
        <v>354</v>
      </c>
      <c r="H57" s="323"/>
      <c r="I57" s="359"/>
      <c r="J57" s="516">
        <f t="shared" ref="J57:J61" si="37">COUNTIF(K57:L57,FALSE)</f>
        <v>0</v>
      </c>
      <c r="K57" s="386" t="b">
        <f t="shared" si="30"/>
        <v>1</v>
      </c>
      <c r="L57" s="386" t="b">
        <f t="shared" si="30"/>
        <v>1</v>
      </c>
      <c r="M57" s="386"/>
      <c r="N57" s="521" t="b">
        <f t="shared" si="31"/>
        <v>0</v>
      </c>
      <c r="O57" s="522" t="b">
        <f t="shared" si="32"/>
        <v>0</v>
      </c>
      <c r="P57" s="409" t="b">
        <f t="shared" si="33"/>
        <v>0</v>
      </c>
      <c r="Q57" s="523" t="b">
        <f t="shared" si="34"/>
        <v>0</v>
      </c>
      <c r="R57" s="524" t="b">
        <f t="shared" si="35"/>
        <v>1</v>
      </c>
      <c r="S57" s="375"/>
    </row>
    <row r="58" spans="1:19" ht="39.950000000000003" customHeight="1" x14ac:dyDescent="0.2">
      <c r="A58" s="565"/>
      <c r="B58" s="408" t="s">
        <v>362</v>
      </c>
      <c r="C58" s="406" t="str">
        <f>VLOOKUP(B58,Notes!$E$74:$F$78,2,FALSE)</f>
        <v>OSC Use only</v>
      </c>
      <c r="D58" s="432"/>
      <c r="E58" s="433"/>
      <c r="F58" s="437">
        <f t="shared" si="36"/>
        <v>0</v>
      </c>
      <c r="G58" s="429" t="s">
        <v>354</v>
      </c>
      <c r="H58" s="323"/>
      <c r="I58" s="359"/>
      <c r="J58" s="516">
        <f t="shared" si="37"/>
        <v>0</v>
      </c>
      <c r="K58" s="386" t="b">
        <f t="shared" si="30"/>
        <v>1</v>
      </c>
      <c r="L58" s="386" t="b">
        <f t="shared" si="30"/>
        <v>1</v>
      </c>
      <c r="M58" s="386"/>
      <c r="N58" s="521" t="b">
        <f t="shared" si="31"/>
        <v>0</v>
      </c>
      <c r="O58" s="522" t="b">
        <f t="shared" si="32"/>
        <v>0</v>
      </c>
      <c r="P58" s="409" t="b">
        <f t="shared" si="33"/>
        <v>0</v>
      </c>
      <c r="Q58" s="523" t="b">
        <f t="shared" si="34"/>
        <v>0</v>
      </c>
      <c r="R58" s="524" t="b">
        <f t="shared" si="35"/>
        <v>1</v>
      </c>
      <c r="S58" s="375"/>
    </row>
    <row r="59" spans="1:19" ht="39.950000000000003" customHeight="1" x14ac:dyDescent="0.2">
      <c r="A59" s="565"/>
      <c r="B59" s="408" t="s">
        <v>362</v>
      </c>
      <c r="C59" s="406" t="str">
        <f>VLOOKUP(B59,Notes!$E$74:$F$78,2,FALSE)</f>
        <v>OSC Use only</v>
      </c>
      <c r="D59" s="436"/>
      <c r="E59" s="435"/>
      <c r="F59" s="437">
        <f t="shared" si="36"/>
        <v>0</v>
      </c>
      <c r="G59" s="429" t="s">
        <v>354</v>
      </c>
      <c r="H59" s="323"/>
      <c r="I59" s="359"/>
      <c r="J59" s="516">
        <f t="shared" si="37"/>
        <v>0</v>
      </c>
      <c r="K59" s="386" t="b">
        <f t="shared" si="30"/>
        <v>1</v>
      </c>
      <c r="L59" s="386" t="b">
        <f t="shared" si="30"/>
        <v>1</v>
      </c>
      <c r="M59" s="386"/>
      <c r="N59" s="521" t="b">
        <f t="shared" si="31"/>
        <v>0</v>
      </c>
      <c r="O59" s="522" t="b">
        <f t="shared" si="32"/>
        <v>0</v>
      </c>
      <c r="P59" s="409" t="b">
        <f t="shared" si="33"/>
        <v>0</v>
      </c>
      <c r="Q59" s="523" t="b">
        <f t="shared" si="34"/>
        <v>0</v>
      </c>
      <c r="R59" s="524" t="b">
        <f t="shared" si="35"/>
        <v>1</v>
      </c>
      <c r="S59" s="375"/>
    </row>
    <row r="60" spans="1:19" ht="39.950000000000003" customHeight="1" x14ac:dyDescent="0.2">
      <c r="A60" s="565"/>
      <c r="B60" s="408" t="s">
        <v>362</v>
      </c>
      <c r="C60" s="406" t="str">
        <f>VLOOKUP(B60,Notes!$E$74:$F$78,2,FALSE)</f>
        <v>OSC Use only</v>
      </c>
      <c r="D60" s="436"/>
      <c r="E60" s="435"/>
      <c r="F60" s="437">
        <f t="shared" si="36"/>
        <v>0</v>
      </c>
      <c r="G60" s="429" t="s">
        <v>354</v>
      </c>
      <c r="H60" s="323"/>
      <c r="I60" s="359"/>
      <c r="J60" s="516">
        <f t="shared" si="37"/>
        <v>0</v>
      </c>
      <c r="K60" s="386" t="b">
        <f t="shared" si="30"/>
        <v>1</v>
      </c>
      <c r="L60" s="386" t="b">
        <f t="shared" si="30"/>
        <v>1</v>
      </c>
      <c r="M60" s="386"/>
      <c r="N60" s="521" t="b">
        <f t="shared" si="31"/>
        <v>0</v>
      </c>
      <c r="O60" s="522" t="b">
        <f t="shared" si="32"/>
        <v>0</v>
      </c>
      <c r="P60" s="409" t="b">
        <f t="shared" si="33"/>
        <v>0</v>
      </c>
      <c r="Q60" s="523" t="b">
        <f t="shared" si="34"/>
        <v>0</v>
      </c>
      <c r="R60" s="524" t="b">
        <f t="shared" si="35"/>
        <v>1</v>
      </c>
      <c r="S60" s="375"/>
    </row>
    <row r="61" spans="1:19" ht="39.950000000000003" customHeight="1" x14ac:dyDescent="0.2">
      <c r="A61" s="565"/>
      <c r="B61" s="408" t="s">
        <v>362</v>
      </c>
      <c r="C61" s="406" t="str">
        <f>VLOOKUP(B61,Notes!$E$74:$F$78,2,FALSE)</f>
        <v>OSC Use only</v>
      </c>
      <c r="D61" s="436"/>
      <c r="E61" s="435"/>
      <c r="F61" s="437">
        <f t="shared" si="36"/>
        <v>0</v>
      </c>
      <c r="G61" s="429" t="s">
        <v>354</v>
      </c>
      <c r="H61" s="323"/>
      <c r="I61" s="359"/>
      <c r="J61" s="516">
        <f t="shared" si="37"/>
        <v>0</v>
      </c>
      <c r="K61" s="386" t="b">
        <f t="shared" si="30"/>
        <v>1</v>
      </c>
      <c r="L61" s="386" t="b">
        <f t="shared" si="30"/>
        <v>1</v>
      </c>
      <c r="M61" s="386"/>
      <c r="N61" s="521" t="b">
        <f t="shared" si="31"/>
        <v>0</v>
      </c>
      <c r="O61" s="522" t="b">
        <f t="shared" si="32"/>
        <v>0</v>
      </c>
      <c r="P61" s="409" t="b">
        <f t="shared" si="33"/>
        <v>0</v>
      </c>
      <c r="Q61" s="523" t="b">
        <f t="shared" si="34"/>
        <v>0</v>
      </c>
      <c r="R61" s="524" t="b">
        <f t="shared" si="35"/>
        <v>1</v>
      </c>
      <c r="S61" s="375"/>
    </row>
    <row r="62" spans="1:19" ht="13.5" customHeight="1" x14ac:dyDescent="0.2">
      <c r="A62" s="361"/>
      <c r="B62" s="321" t="s">
        <v>371</v>
      </c>
      <c r="C62" s="348" t="s">
        <v>372</v>
      </c>
      <c r="D62" s="349"/>
      <c r="E62" s="321"/>
      <c r="F62" s="349"/>
      <c r="G62" s="325"/>
      <c r="H62" s="322"/>
      <c r="I62" s="359"/>
      <c r="J62" s="516"/>
      <c r="K62" s="386"/>
      <c r="L62" s="386"/>
      <c r="M62" s="386"/>
      <c r="N62" s="521"/>
      <c r="O62" s="521"/>
      <c r="P62" s="409"/>
      <c r="Q62" s="409"/>
      <c r="R62" s="524"/>
      <c r="S62" s="375"/>
    </row>
    <row r="63" spans="1:19" ht="39.950000000000003" customHeight="1" thickBot="1" x14ac:dyDescent="0.25">
      <c r="A63" s="404" t="s">
        <v>373</v>
      </c>
      <c r="B63" s="319" t="s">
        <v>374</v>
      </c>
      <c r="C63" s="385" t="s">
        <v>374</v>
      </c>
      <c r="D63" s="432"/>
      <c r="E63" s="433"/>
      <c r="F63" s="437">
        <f>+D63+E63</f>
        <v>0</v>
      </c>
      <c r="G63" s="429" t="s">
        <v>354</v>
      </c>
      <c r="H63" s="323"/>
      <c r="I63" s="359"/>
      <c r="J63" s="516">
        <f t="shared" ref="J63" si="38">COUNTIF(K63:L63,FALSE)</f>
        <v>0</v>
      </c>
      <c r="K63" s="516" t="b">
        <f>ISBLANK(D63)</f>
        <v>1</v>
      </c>
      <c r="L63" s="516" t="b">
        <f>ISBLANK(E63)</f>
        <v>1</v>
      </c>
      <c r="M63" s="386"/>
      <c r="N63" s="525" t="str">
        <f>IF(E63&lt;&gt;0,"FALSE","TRUE")</f>
        <v>TRUE</v>
      </c>
      <c r="O63" s="525" t="str">
        <f>IF(E63=0,"FALSE","TRUE")</f>
        <v>FALSE</v>
      </c>
      <c r="P63" s="416" t="b">
        <f>IF(E63&lt;&gt;0,IF(G63="Select Reason",NOT(ISBLANK(G63)),ISBLANK(G63)))</f>
        <v>0</v>
      </c>
      <c r="Q63" s="526" t="b">
        <f>IF(E63=0,IF(G63="Select Reason",ISBLANK(G63),NOT(ISBLANK(G63))))</f>
        <v>0</v>
      </c>
      <c r="R63" s="524" t="b">
        <f>IF(E63=0,ISBLANK(H63),NOT(ISBLANK(H63)))</f>
        <v>1</v>
      </c>
      <c r="S63" s="375"/>
    </row>
    <row r="64" spans="1:19" ht="18.75" thickBot="1" x14ac:dyDescent="0.25">
      <c r="A64" s="361"/>
      <c r="B64" s="575" t="s">
        <v>375</v>
      </c>
      <c r="C64" s="575"/>
      <c r="D64" s="576"/>
      <c r="E64" s="402">
        <f>(SUM(E45:E52)+E63)-SUM(E54:E61)</f>
        <v>0</v>
      </c>
      <c r="F64" s="418" t="str">
        <f>IF(E64&lt;&gt;0,"Ensure Operating Statement Change Equals Balance Sheet Change.","")</f>
        <v/>
      </c>
      <c r="G64" s="368"/>
      <c r="H64" s="417"/>
      <c r="I64" s="359"/>
      <c r="J64" s="516"/>
      <c r="K64" s="386"/>
      <c r="L64" s="386"/>
      <c r="M64" s="386"/>
      <c r="N64" s="412"/>
      <c r="O64" s="412"/>
      <c r="P64" s="409"/>
      <c r="Q64" s="409"/>
      <c r="R64" s="524"/>
      <c r="S64" s="375"/>
    </row>
    <row r="65" spans="1:19" ht="16.5" thickBot="1" x14ac:dyDescent="0.25">
      <c r="B65" s="570" t="s">
        <v>376</v>
      </c>
      <c r="C65" s="571"/>
      <c r="D65" s="572"/>
      <c r="E65" s="403">
        <f>IF((E43=E64),E64,ABS(E43-E64))</f>
        <v>0</v>
      </c>
      <c r="F65" s="573"/>
      <c r="G65" s="574"/>
      <c r="H65" s="395"/>
      <c r="I65" s="361"/>
      <c r="J65" s="516"/>
      <c r="K65" s="516"/>
      <c r="L65" s="516"/>
      <c r="M65" s="516"/>
      <c r="N65" s="521"/>
      <c r="O65" s="521"/>
      <c r="P65" s="523"/>
      <c r="Q65" s="523"/>
      <c r="R65" s="524"/>
      <c r="S65" s="375"/>
    </row>
    <row r="66" spans="1:19" s="309" customFormat="1" ht="66" customHeight="1" thickBot="1" x14ac:dyDescent="0.25">
      <c r="A66" s="400" t="s">
        <v>358</v>
      </c>
      <c r="B66" s="399" t="str">
        <f>IF(C17=0,"OK",IF(O67=0,"OK","Choose or Remove 'select an account'"))</f>
        <v>OK</v>
      </c>
      <c r="C66" s="315"/>
      <c r="D66" s="396" t="str">
        <f>IF(C17=0,"OK",IF(SUM(D19:D22)&lt;&gt;0,IF(L67=1,"ERROR - Check the beginning balance of row B, C, D, E or F","OK")))</f>
        <v>OK</v>
      </c>
      <c r="E66" s="397" t="str">
        <f>IF(C17=0,"OK",IF(E68="OK","OK", "ERROR - Check sign or amount at row B, C, D, E or F for Balance Sheet Change or Operating Statement Change"))</f>
        <v>OK</v>
      </c>
      <c r="F66" s="315"/>
      <c r="G66" s="397" t="str">
        <f>IF(Q67=0,"OK","Select a restatement reason at an appropriate line, or Remove a restatement reason at the incorrect line.")</f>
        <v>OK</v>
      </c>
      <c r="H66" s="398" t="str">
        <f>IF(R66=0,"OK","Provide or Remove explanation at column I")</f>
        <v>OK</v>
      </c>
      <c r="J66" s="527"/>
      <c r="K66" s="387">
        <f>COUNTIF(K19:K63,FALSE)</f>
        <v>0</v>
      </c>
      <c r="L66" s="387">
        <f>COUNTIF(L19:L63,FALSE)</f>
        <v>0</v>
      </c>
      <c r="M66" s="387"/>
      <c r="N66" s="413">
        <f t="shared" ref="N66:Q66" si="39">COUNTIF(N19:N63,TRUE)</f>
        <v>0</v>
      </c>
      <c r="O66" s="413">
        <f t="shared" si="39"/>
        <v>0</v>
      </c>
      <c r="P66" s="410">
        <f t="shared" si="39"/>
        <v>0</v>
      </c>
      <c r="Q66" s="410">
        <f t="shared" si="39"/>
        <v>0</v>
      </c>
      <c r="R66" s="411">
        <f>COUNTIF(R19:R63,FALSE)</f>
        <v>0</v>
      </c>
      <c r="S66" s="375"/>
    </row>
    <row r="67" spans="1:19" ht="60" customHeight="1" thickBot="1" x14ac:dyDescent="0.25">
      <c r="A67" s="400" t="s">
        <v>358</v>
      </c>
      <c r="B67" s="401" t="s">
        <v>377</v>
      </c>
      <c r="E67" s="398" t="str">
        <f>IF(F69=C17,"OK","ERROR - check restatement amount.")</f>
        <v>OK</v>
      </c>
      <c r="J67" s="516"/>
      <c r="K67" s="516"/>
      <c r="L67" s="516">
        <f>IF(L66-K66=0,0,1)</f>
        <v>0</v>
      </c>
      <c r="M67" s="516"/>
      <c r="N67" s="521"/>
      <c r="O67" s="521">
        <f>IF(O66-N66=0,0,1)</f>
        <v>0</v>
      </c>
      <c r="P67" s="523"/>
      <c r="Q67" s="523">
        <f>IF(Q66-P66=0,0,1)</f>
        <v>0</v>
      </c>
      <c r="R67" s="516"/>
      <c r="S67" s="375"/>
    </row>
    <row r="68" spans="1:19" ht="20.25" hidden="1" customHeight="1" x14ac:dyDescent="0.2">
      <c r="B68" s="314" t="s">
        <v>378</v>
      </c>
      <c r="C68" s="324"/>
      <c r="D68" s="324"/>
      <c r="E68" s="415" t="b">
        <f>IF(C17&lt;&gt;0,IF(C17=F69,"OK","ERROR"))</f>
        <v>0</v>
      </c>
      <c r="F68" s="414"/>
      <c r="G68" s="324"/>
      <c r="J68" s="516"/>
      <c r="K68" s="516"/>
      <c r="L68" s="516"/>
      <c r="M68" s="516"/>
      <c r="N68" s="516"/>
      <c r="O68" s="516"/>
      <c r="P68" s="516"/>
      <c r="Q68" s="516"/>
      <c r="R68" s="528"/>
      <c r="S68" s="375"/>
    </row>
    <row r="69" spans="1:19" ht="28.9" hidden="1" customHeight="1" x14ac:dyDescent="0.2">
      <c r="B69" s="388" t="s">
        <v>379</v>
      </c>
      <c r="C69" s="389"/>
      <c r="E69" s="533">
        <v>0</v>
      </c>
      <c r="F69" s="389">
        <f>IF(E69=0,E64,0)</f>
        <v>0</v>
      </c>
      <c r="J69" s="516"/>
      <c r="K69" s="516"/>
      <c r="L69" s="516"/>
      <c r="M69" s="516"/>
      <c r="N69" s="516"/>
      <c r="O69" s="516"/>
      <c r="P69" s="516"/>
      <c r="Q69" s="516"/>
      <c r="R69" s="528"/>
      <c r="S69" s="375"/>
    </row>
    <row r="70" spans="1:19" ht="13.5" hidden="1" customHeight="1" x14ac:dyDescent="0.2">
      <c r="E70" s="532">
        <f>IF((E43=E64),E63,ABS(E43-E64))</f>
        <v>0</v>
      </c>
      <c r="J70" s="516"/>
      <c r="K70" s="516"/>
      <c r="L70" s="516"/>
      <c r="M70" s="516"/>
      <c r="N70" s="516"/>
      <c r="O70" s="516"/>
      <c r="P70" s="516"/>
      <c r="Q70" s="516"/>
      <c r="R70" s="528"/>
      <c r="S70" s="375"/>
    </row>
    <row r="71" spans="1:19" ht="12.75" x14ac:dyDescent="0.2">
      <c r="J71" s="516"/>
      <c r="K71" s="516"/>
      <c r="L71" s="516"/>
      <c r="M71" s="516"/>
      <c r="N71" s="516"/>
      <c r="O71" s="516"/>
      <c r="P71" s="516"/>
      <c r="Q71" s="516"/>
      <c r="R71" s="528"/>
      <c r="S71" s="375"/>
    </row>
    <row r="72" spans="1:19" ht="12.75" x14ac:dyDescent="0.2">
      <c r="E72" s="374"/>
      <c r="J72" s="516"/>
      <c r="K72" s="516"/>
      <c r="L72" s="516"/>
      <c r="M72" s="516"/>
      <c r="N72" s="516"/>
      <c r="O72" s="516"/>
      <c r="P72" s="516"/>
      <c r="Q72" s="516"/>
      <c r="R72" s="528"/>
      <c r="S72" s="375"/>
    </row>
    <row r="73" spans="1:19" ht="12.75" x14ac:dyDescent="0.2">
      <c r="E73" s="530"/>
      <c r="R73" s="375"/>
      <c r="S73" s="375"/>
    </row>
    <row r="74" spans="1:19" ht="12.75" x14ac:dyDescent="0.2">
      <c r="E74" s="531"/>
      <c r="R74" s="375"/>
      <c r="S74" s="375"/>
    </row>
    <row r="75" spans="1:19" ht="12.75" x14ac:dyDescent="0.2">
      <c r="R75" s="375"/>
      <c r="S75" s="375"/>
    </row>
    <row r="76" spans="1:19" ht="12.75" x14ac:dyDescent="0.2">
      <c r="R76" s="375"/>
      <c r="S76" s="375"/>
    </row>
    <row r="77" spans="1:19" ht="12.75" x14ac:dyDescent="0.2">
      <c r="R77" s="375"/>
      <c r="S77" s="375"/>
    </row>
    <row r="78" spans="1:19" ht="12.75" x14ac:dyDescent="0.2">
      <c r="R78" s="375"/>
      <c r="S78" s="375"/>
    </row>
    <row r="79" spans="1:19" ht="12.75" x14ac:dyDescent="0.2">
      <c r="R79" s="375"/>
      <c r="S79" s="375"/>
    </row>
    <row r="80" spans="1:19" ht="12.75" x14ac:dyDescent="0.2">
      <c r="R80" s="375"/>
      <c r="S80" s="375"/>
    </row>
    <row r="81" spans="18:19" ht="12.75" x14ac:dyDescent="0.2">
      <c r="R81" s="375"/>
      <c r="S81" s="375"/>
    </row>
    <row r="82" spans="18:19" ht="12.75" x14ac:dyDescent="0.2">
      <c r="R82" s="375"/>
      <c r="S82" s="375"/>
    </row>
    <row r="83" spans="18:19" ht="12.75" x14ac:dyDescent="0.2">
      <c r="R83" s="375"/>
      <c r="S83" s="375"/>
    </row>
    <row r="84" spans="18:19" ht="12.75" x14ac:dyDescent="0.2">
      <c r="R84" s="375"/>
      <c r="S84" s="375"/>
    </row>
    <row r="85" spans="18:19" ht="12.75" x14ac:dyDescent="0.2">
      <c r="R85" s="375"/>
      <c r="S85" s="375"/>
    </row>
    <row r="86" spans="18:19" ht="12.75" x14ac:dyDescent="0.2">
      <c r="R86" s="375"/>
      <c r="S86" s="375"/>
    </row>
    <row r="87" spans="18:19" ht="12.75" x14ac:dyDescent="0.2">
      <c r="R87" s="375"/>
      <c r="S87" s="375"/>
    </row>
    <row r="88" spans="18:19" ht="12.75" x14ac:dyDescent="0.2">
      <c r="R88" s="375"/>
      <c r="S88" s="375"/>
    </row>
    <row r="89" spans="18:19" ht="12.75" x14ac:dyDescent="0.2">
      <c r="R89" s="375"/>
      <c r="S89" s="375"/>
    </row>
    <row r="90" spans="18:19" ht="12.75" x14ac:dyDescent="0.2">
      <c r="R90" s="375"/>
      <c r="S90" s="375"/>
    </row>
    <row r="91" spans="18:19" ht="12.75" x14ac:dyDescent="0.2">
      <c r="R91" s="375"/>
      <c r="S91" s="375"/>
    </row>
    <row r="92" spans="18:19" ht="12.75" x14ac:dyDescent="0.2">
      <c r="R92" s="375"/>
      <c r="S92" s="375"/>
    </row>
    <row r="93" spans="18:19" ht="12.75" x14ac:dyDescent="0.2">
      <c r="R93" s="375"/>
      <c r="S93" s="375"/>
    </row>
    <row r="94" spans="18:19" ht="12.75" x14ac:dyDescent="0.2">
      <c r="R94" s="375"/>
      <c r="S94" s="375"/>
    </row>
    <row r="95" spans="18:19" ht="12.75" x14ac:dyDescent="0.2">
      <c r="R95" s="375"/>
      <c r="S95" s="375"/>
    </row>
    <row r="96" spans="18:19" ht="12.75" x14ac:dyDescent="0.2">
      <c r="R96" s="375"/>
      <c r="S96" s="375"/>
    </row>
    <row r="97" spans="18:19" ht="12.75" x14ac:dyDescent="0.2">
      <c r="R97" s="375"/>
      <c r="S97" s="375"/>
    </row>
    <row r="98" spans="18:19" ht="12.75" x14ac:dyDescent="0.2">
      <c r="R98" s="375"/>
      <c r="S98" s="375"/>
    </row>
    <row r="99" spans="18:19" ht="12.75" x14ac:dyDescent="0.2">
      <c r="R99" s="375"/>
      <c r="S99" s="375"/>
    </row>
    <row r="100" spans="18:19" ht="12.75" x14ac:dyDescent="0.2">
      <c r="R100" s="375"/>
      <c r="S100" s="375"/>
    </row>
    <row r="101" spans="18:19" ht="12.75" x14ac:dyDescent="0.2">
      <c r="R101" s="375"/>
      <c r="S101" s="375"/>
    </row>
    <row r="102" spans="18:19" ht="12.75" x14ac:dyDescent="0.2">
      <c r="R102" s="375"/>
      <c r="S102" s="375"/>
    </row>
    <row r="103" spans="18:19" ht="12.75" x14ac:dyDescent="0.2">
      <c r="R103" s="375"/>
      <c r="S103" s="375"/>
    </row>
    <row r="104" spans="18:19" ht="12.75" x14ac:dyDescent="0.2">
      <c r="R104" s="375"/>
      <c r="S104" s="375"/>
    </row>
    <row r="105" spans="18:19" ht="12.75" x14ac:dyDescent="0.2">
      <c r="R105" s="375"/>
      <c r="S105" s="375"/>
    </row>
    <row r="106" spans="18:19" ht="12.75" x14ac:dyDescent="0.2">
      <c r="R106" s="375"/>
      <c r="S106" s="375"/>
    </row>
    <row r="107" spans="18:19" ht="12.75" x14ac:dyDescent="0.2">
      <c r="R107" s="375"/>
      <c r="S107" s="375"/>
    </row>
    <row r="108" spans="18:19" ht="12.75" x14ac:dyDescent="0.2">
      <c r="R108" s="375"/>
      <c r="S108" s="375"/>
    </row>
    <row r="109" spans="18:19" ht="12.75" x14ac:dyDescent="0.2">
      <c r="R109" s="375"/>
      <c r="S109" s="375"/>
    </row>
    <row r="110" spans="18:19" ht="12.75" x14ac:dyDescent="0.2">
      <c r="R110" s="375"/>
      <c r="S110" s="375"/>
    </row>
    <row r="111" spans="18:19" ht="12.75" x14ac:dyDescent="0.2">
      <c r="R111" s="375"/>
      <c r="S111" s="375"/>
    </row>
    <row r="112" spans="18:19" ht="12.75" x14ac:dyDescent="0.2">
      <c r="R112" s="375"/>
      <c r="S112" s="375"/>
    </row>
    <row r="113" spans="18:19" ht="12.75" x14ac:dyDescent="0.2">
      <c r="R113" s="375"/>
      <c r="S113" s="375"/>
    </row>
  </sheetData>
  <sheetProtection algorithmName="SHA-512" hashValue="7J5F+Nna2oRivlQry+x8K4LxXjT9IBK9NPa8MqgLiRlaBuvD1jlgCKtMecvNEAkcZ1gs1sX3Lrvfaal373swZw==" saltValue="stzemy1qlTjTSTQH99PESg==" spinCount="100000" sheet="1" autoFilter="0"/>
  <mergeCells count="13">
    <mergeCell ref="B5:G5"/>
    <mergeCell ref="A19:A22"/>
    <mergeCell ref="H24:H25"/>
    <mergeCell ref="B18:F18"/>
    <mergeCell ref="B65:D65"/>
    <mergeCell ref="F65:G65"/>
    <mergeCell ref="B43:D43"/>
    <mergeCell ref="B64:D64"/>
    <mergeCell ref="A26:A33"/>
    <mergeCell ref="A35:A42"/>
    <mergeCell ref="A45:A52"/>
    <mergeCell ref="A54:A61"/>
    <mergeCell ref="B9:G9"/>
  </mergeCells>
  <phoneticPr fontId="20" type="noConversion"/>
  <conditionalFormatting sqref="B26:B33 B35:B42 B45:B52 B54:B61">
    <cfRule type="containsText" dxfId="18" priority="29" operator="containsText" text="5">
      <formula>NOT(ISERROR(SEARCH("5",B26)))</formula>
    </cfRule>
  </conditionalFormatting>
  <conditionalFormatting sqref="B35:B42 B54:B61 B26:B33 B45:B52">
    <cfRule type="containsText" dxfId="17" priority="23" operator="containsText" text="1">
      <formula>NOT(ISERROR(SEARCH("1",B26)))</formula>
    </cfRule>
  </conditionalFormatting>
  <conditionalFormatting sqref="B35:B42">
    <cfRule type="cellIs" dxfId="16" priority="1" operator="equal">
      <formula>"*"</formula>
    </cfRule>
  </conditionalFormatting>
  <conditionalFormatting sqref="B54:B61">
    <cfRule type="containsText" dxfId="14" priority="2" operator="containsText" text="6">
      <formula>NOT(ISERROR(SEARCH("6",B54)))</formula>
    </cfRule>
  </conditionalFormatting>
  <conditionalFormatting sqref="D19:F22">
    <cfRule type="cellIs" dxfId="13" priority="11" operator="notEqual">
      <formula>0</formula>
    </cfRule>
  </conditionalFormatting>
  <conditionalFormatting sqref="D26:F33 D35:F42 E43 G43:H43 D45:F52 D54:F61 D63:F63 E64 G64:H64">
    <cfRule type="cellIs" dxfId="12" priority="24" operator="notEqual">
      <formula>0</formula>
    </cfRule>
    <cfRule type="cellIs" dxfId="11" priority="26" operator="notEqual">
      <formula>0</formula>
    </cfRule>
    <cfRule type="cellIs" dxfId="10" priority="27" operator="notEqual">
      <formula>0</formula>
    </cfRule>
    <cfRule type="containsText" dxfId="9" priority="28" operator="containsText" text="&lt;&gt;&quot;&quot;">
      <formula>NOT(ISERROR(SEARCH("&lt;&gt;""""",D26)))</formula>
    </cfRule>
  </conditionalFormatting>
  <dataValidations xWindow="873" yWindow="640" count="2">
    <dataValidation allowBlank="1" showInputMessage="1" showErrorMessage="1" prompt="Also complete Asset/Liabilties (row B/C) and Revenue/Expenses/Restatements (row D/E/F)." sqref="E19:E22" xr:uid="{5E355B24-E1AF-42A4-8265-9FE00A0F8840}"/>
    <dataValidation allowBlank="1" showInputMessage="1" showErrorMessage="1" prompt="No Restatement - leave blank_x000a_Restatement - enter beginning balance or $0 if data is not available." sqref="D19:D22 D26:D33 D54:D61 D45:D52 D63 D35:D42" xr:uid="{109BAA22-9E7F-4314-B811-68B6A9DA3843}"/>
  </dataValidations>
  <hyperlinks>
    <hyperlink ref="F13" r:id="rId1" xr:uid="{AA4BCAB0-25D4-4C0F-AC60-5DCE6DDAB25C}"/>
  </hyperlinks>
  <pageMargins left="0.75" right="0.75" top="1" bottom="1" header="0.5" footer="0.5"/>
  <pageSetup scale="40" orientation="landscape" r:id="rId2"/>
  <headerFooter alignWithMargins="0">
    <oddFooter>&amp;L&amp;F  &amp;A&amp;C&amp;P of &amp;N&amp;R&amp;D</oddFooter>
  </headerFooter>
  <rowBreaks count="1" manualBreakCount="1">
    <brk id="42" max="16383" man="1"/>
  </rowBreaks>
  <legacyDrawing r:id="rId3"/>
  <extLst>
    <ext xmlns:x14="http://schemas.microsoft.com/office/spreadsheetml/2009/9/main" uri="{78C0D931-6437-407d-A8EE-F0AAD7539E65}">
      <x14:conditionalFormattings>
        <x14:conditionalFormatting xmlns:xm="http://schemas.microsoft.com/office/excel/2006/main">
          <x14:cfRule type="containsText" priority="3" operator="containsText" id="{9E58CA79-276E-4F43-8447-4216FB25CDA8}">
            <xm:f>NOT(ISERROR(SEARCH(2,B35)))</xm:f>
            <xm:f>2</xm:f>
            <x14:dxf>
              <font>
                <color theme="5" tint="-0.24994659260841701"/>
              </font>
              <fill>
                <patternFill>
                  <bgColor theme="5" tint="0.59996337778862885"/>
                </patternFill>
              </fill>
            </x14:dxf>
          </x14:cfRule>
          <xm:sqref>B35:B42</xm:sqref>
        </x14:conditionalFormatting>
      </x14:conditionalFormattings>
    </ext>
    <ext xmlns:x14="http://schemas.microsoft.com/office/spreadsheetml/2009/9/main" uri="{CCE6A557-97BC-4b89-ADB6-D9C93CAAB3DF}">
      <x14:dataValidations xmlns:xm="http://schemas.microsoft.com/office/excel/2006/main" xWindow="873" yWindow="640" count="6">
        <x14:dataValidation type="list" allowBlank="1" showInputMessage="1" showErrorMessage="1" xr:uid="{24813B90-2261-4BE8-97E9-4DECE675088D}">
          <x14:formula1>
            <xm:f>Notes!$E$29:$E$54</xm:f>
          </x14:formula1>
          <xm:sqref>B35:B42</xm:sqref>
        </x14:dataValidation>
        <x14:dataValidation type="list" allowBlank="1" showInputMessage="1" showErrorMessage="1" xr:uid="{64FFDDAC-402F-4060-8DBD-6C528D176CCF}">
          <x14:formula1>
            <xm:f>Notes!$E$3:$E$26</xm:f>
          </x14:formula1>
          <xm:sqref>B26:B33</xm:sqref>
        </x14:dataValidation>
        <x14:dataValidation type="list" allowBlank="1" showInputMessage="1" showErrorMessage="1" xr:uid="{8ACB12B0-87F1-4462-9F9B-1C1AA25982ED}">
          <x14:formula1>
            <xm:f>Notes!$E$74:$E$79</xm:f>
          </x14:formula1>
          <xm:sqref>B54:B61</xm:sqref>
        </x14:dataValidation>
        <x14:dataValidation type="list" allowBlank="1" showInputMessage="1" showErrorMessage="1" xr:uid="{BEA5FA2E-826E-4A70-BAAB-922C8A450D4D}">
          <x14:formula1>
            <xm:f>Notes!$E$59:$E$69</xm:f>
          </x14:formula1>
          <xm:sqref>B45:B52</xm:sqref>
        </x14:dataValidation>
        <x14:dataValidation type="list" allowBlank="1" showInputMessage="1" showErrorMessage="1" xr:uid="{9D4CD5AC-A709-4188-98B2-7FC1AE8453B3}">
          <x14:formula1>
            <xm:f>Notes!$D$86:$D$99</xm:f>
          </x14:formula1>
          <xm:sqref>G64</xm:sqref>
        </x14:dataValidation>
        <x14:dataValidation type="list" allowBlank="1" showInputMessage="1" showErrorMessage="1" prompt="ER = Error Correction (e.g. audit adjustment or prior year group asset adjustment)_x000a_O = Change in accounting principal " xr:uid="{A260375D-CE3F-4BD6-A943-07BFCCDFE9EA}">
          <x14:formula1>
            <xm:f>Notes!$D$86:$D$99</xm:f>
          </x14:formula1>
          <xm:sqref>G63 G19:G22 G45:G52 G26:G33 G35:G42 G54:G61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DD3E-74FA-4B68-929D-F270DBC16469}">
  <sheetPr>
    <tabColor theme="5" tint="0.59999389629810485"/>
  </sheetPr>
  <dimension ref="A1:S113"/>
  <sheetViews>
    <sheetView zoomScaleNormal="100" workbookViewId="0">
      <selection activeCell="E20" sqref="E20"/>
    </sheetView>
  </sheetViews>
  <sheetFormatPr defaultColWidth="9.140625" defaultRowHeight="15.75" x14ac:dyDescent="0.2"/>
  <cols>
    <col min="1" max="1" width="11.28515625" style="288" customWidth="1"/>
    <col min="2" max="2" width="39.140625" style="288" customWidth="1"/>
    <col min="3" max="3" width="32.5703125" style="288" customWidth="1"/>
    <col min="4" max="4" width="24" style="288" customWidth="1"/>
    <col min="5" max="5" width="29.140625" style="288" customWidth="1"/>
    <col min="6" max="6" width="25.7109375" style="288" customWidth="1"/>
    <col min="7" max="7" width="50.7109375" style="288" customWidth="1"/>
    <col min="8" max="8" width="78.5703125" style="288" customWidth="1"/>
    <col min="9" max="9" width="12.5703125" style="288" customWidth="1"/>
    <col min="10" max="10" width="9.140625" style="288" hidden="1" customWidth="1"/>
    <col min="11" max="11" width="12.5703125" style="288" hidden="1" customWidth="1"/>
    <col min="12" max="13" width="11.5703125" style="288" hidden="1" customWidth="1"/>
    <col min="14" max="15" width="19.7109375" style="288" hidden="1" customWidth="1"/>
    <col min="16" max="17" width="19.85546875" style="288" hidden="1" customWidth="1"/>
    <col min="18" max="18" width="22" style="390" hidden="1" customWidth="1"/>
    <col min="19" max="19" width="9.42578125" style="390" bestFit="1" customWidth="1"/>
    <col min="20" max="16384" width="9.140625" style="288"/>
  </cols>
  <sheetData>
    <row r="1" spans="1:19" ht="24" thickBot="1" x14ac:dyDescent="0.25">
      <c r="B1" s="369"/>
      <c r="R1" s="370"/>
      <c r="S1" s="370"/>
    </row>
    <row r="2" spans="1:19" s="371" customFormat="1" ht="18.600000000000001" customHeight="1" thickBot="1" x14ac:dyDescent="0.25">
      <c r="A2" s="362"/>
      <c r="B2" s="582" t="s">
        <v>778</v>
      </c>
      <c r="C2" s="583"/>
      <c r="D2" s="583"/>
      <c r="E2" s="583"/>
      <c r="F2" s="583"/>
      <c r="G2" s="583"/>
      <c r="H2" s="584"/>
      <c r="I2" s="362"/>
      <c r="J2" s="362"/>
      <c r="K2" s="362"/>
      <c r="L2" s="362"/>
      <c r="M2" s="362"/>
      <c r="N2" s="362"/>
      <c r="O2" s="362"/>
      <c r="P2" s="362"/>
      <c r="Q2" s="362"/>
      <c r="R2" s="370"/>
      <c r="S2" s="370"/>
    </row>
    <row r="3" spans="1:19" s="371" customFormat="1" ht="18.600000000000001" customHeight="1" x14ac:dyDescent="0.2">
      <c r="A3" s="362"/>
      <c r="B3" s="374" t="s">
        <v>123</v>
      </c>
      <c r="C3" s="362"/>
      <c r="D3" s="362"/>
      <c r="E3" s="288"/>
      <c r="F3" s="373"/>
      <c r="G3" s="362"/>
      <c r="H3" s="362"/>
      <c r="I3" s="362"/>
      <c r="J3" s="362"/>
      <c r="K3" s="362"/>
      <c r="L3" s="362"/>
      <c r="M3" s="362"/>
      <c r="N3" s="362"/>
      <c r="O3" s="362"/>
      <c r="P3" s="362"/>
      <c r="Q3" s="362"/>
      <c r="R3" s="370"/>
      <c r="S3" s="370"/>
    </row>
    <row r="4" spans="1:19" s="371" customFormat="1" ht="18.600000000000001" customHeight="1" thickBot="1" x14ac:dyDescent="0.25">
      <c r="A4" s="362"/>
      <c r="B4" s="374"/>
      <c r="C4" s="362"/>
      <c r="D4" s="362"/>
      <c r="E4" s="362"/>
      <c r="F4" s="373"/>
      <c r="G4" s="362"/>
      <c r="H4" s="362"/>
      <c r="I4" s="362"/>
      <c r="J4" s="362"/>
      <c r="K4" s="362"/>
      <c r="L4" s="362"/>
      <c r="M4" s="362"/>
      <c r="N4" s="362"/>
      <c r="O4" s="362"/>
      <c r="P4" s="362"/>
      <c r="Q4" s="362"/>
      <c r="R4" s="375"/>
      <c r="S4" s="375"/>
    </row>
    <row r="5" spans="1:19" s="371" customFormat="1" ht="33" customHeight="1" thickBot="1" x14ac:dyDescent="0.25">
      <c r="A5" s="362"/>
      <c r="B5" s="562" t="s">
        <v>776</v>
      </c>
      <c r="C5" s="563"/>
      <c r="D5" s="563"/>
      <c r="E5" s="563"/>
      <c r="F5" s="563"/>
      <c r="G5" s="564"/>
      <c r="H5" s="362"/>
      <c r="I5" s="362"/>
      <c r="J5" s="362"/>
      <c r="K5" s="362"/>
      <c r="L5" s="362"/>
      <c r="M5" s="362"/>
      <c r="N5" s="362"/>
      <c r="O5" s="362"/>
      <c r="P5" s="362"/>
      <c r="Q5" s="362"/>
      <c r="R5" s="375"/>
      <c r="S5" s="375"/>
    </row>
    <row r="6" spans="1:19" s="442" customFormat="1" ht="26.25" customHeight="1" thickBot="1" x14ac:dyDescent="0.25">
      <c r="B6" s="470" t="s">
        <v>777</v>
      </c>
      <c r="C6" s="471"/>
      <c r="D6" s="471"/>
      <c r="E6" s="471"/>
      <c r="F6" s="471"/>
      <c r="G6" s="472"/>
      <c r="R6" s="469"/>
      <c r="S6" s="469"/>
    </row>
    <row r="7" spans="1:19" s="371" customFormat="1" ht="12.75" x14ac:dyDescent="0.2">
      <c r="A7" s="362"/>
      <c r="B7" s="426" t="s">
        <v>331</v>
      </c>
      <c r="C7" s="427"/>
      <c r="D7" s="427"/>
      <c r="E7" s="427"/>
      <c r="F7" s="428"/>
      <c r="G7" s="453"/>
      <c r="H7" s="362"/>
      <c r="I7" s="362"/>
      <c r="J7" s="362"/>
      <c r="K7" s="362"/>
      <c r="L7" s="362"/>
      <c r="M7" s="362"/>
      <c r="N7" s="362"/>
      <c r="O7" s="362"/>
      <c r="P7" s="362"/>
      <c r="Q7" s="362"/>
      <c r="R7" s="375"/>
      <c r="S7" s="375"/>
    </row>
    <row r="8" spans="1:19" s="371" customFormat="1" ht="12.75" x14ac:dyDescent="0.2">
      <c r="A8" s="362"/>
      <c r="B8" s="376" t="s">
        <v>332</v>
      </c>
      <c r="C8" s="427"/>
      <c r="D8" s="427"/>
      <c r="E8" s="427"/>
      <c r="F8" s="428"/>
      <c r="G8" s="453"/>
      <c r="H8" s="362"/>
      <c r="I8" s="362"/>
      <c r="J8" s="362"/>
      <c r="K8" s="362"/>
      <c r="L8" s="362"/>
      <c r="M8" s="362"/>
      <c r="N8" s="362"/>
      <c r="O8" s="362"/>
      <c r="P8" s="362"/>
      <c r="Q8" s="362"/>
      <c r="R8" s="375"/>
      <c r="S8" s="375"/>
    </row>
    <row r="9" spans="1:19" s="371" customFormat="1" ht="27" customHeight="1" x14ac:dyDescent="0.2">
      <c r="A9" s="362"/>
      <c r="B9" s="577" t="s">
        <v>333</v>
      </c>
      <c r="C9" s="578"/>
      <c r="D9" s="578"/>
      <c r="E9" s="578"/>
      <c r="F9" s="578"/>
      <c r="G9" s="579"/>
      <c r="H9" s="362"/>
      <c r="I9" s="362"/>
      <c r="J9" s="362"/>
      <c r="K9" s="362"/>
      <c r="L9" s="362"/>
      <c r="M9" s="362"/>
      <c r="N9" s="362"/>
      <c r="O9" s="362"/>
      <c r="P9" s="362"/>
      <c r="Q9" s="362"/>
      <c r="R9" s="375"/>
      <c r="S9" s="375"/>
    </row>
    <row r="10" spans="1:19" s="371" customFormat="1" ht="12.75" x14ac:dyDescent="0.2">
      <c r="A10" s="362"/>
      <c r="B10" s="405" t="s">
        <v>769</v>
      </c>
      <c r="C10" s="427"/>
      <c r="D10" s="427"/>
      <c r="E10" s="427"/>
      <c r="F10" s="428"/>
      <c r="G10" s="453"/>
      <c r="H10" s="362"/>
      <c r="I10" s="362"/>
      <c r="J10" s="362"/>
      <c r="K10" s="362"/>
      <c r="L10" s="362"/>
      <c r="M10" s="362"/>
      <c r="N10" s="362"/>
      <c r="O10" s="362"/>
      <c r="P10" s="362"/>
      <c r="Q10" s="362"/>
      <c r="R10" s="375"/>
      <c r="S10" s="375"/>
    </row>
    <row r="11" spans="1:19" s="371" customFormat="1" ht="12.75" x14ac:dyDescent="0.2">
      <c r="A11" s="362"/>
      <c r="B11" s="376" t="s">
        <v>773</v>
      </c>
      <c r="C11" s="427"/>
      <c r="D11" s="427"/>
      <c r="E11" s="427"/>
      <c r="F11" s="428"/>
      <c r="G11" s="453"/>
      <c r="H11" s="362"/>
      <c r="I11" s="362"/>
      <c r="J11" s="362"/>
      <c r="K11" s="362"/>
      <c r="L11" s="362"/>
      <c r="M11" s="362"/>
      <c r="N11" s="362"/>
      <c r="O11" s="362"/>
      <c r="P11" s="362"/>
      <c r="Q11" s="362"/>
      <c r="R11" s="375"/>
      <c r="S11" s="375"/>
    </row>
    <row r="12" spans="1:19" s="371" customFormat="1" ht="12.75" x14ac:dyDescent="0.2">
      <c r="A12" s="362"/>
      <c r="B12" s="405" t="s">
        <v>768</v>
      </c>
      <c r="C12" s="427"/>
      <c r="D12" s="427"/>
      <c r="E12" s="427"/>
      <c r="F12" s="428"/>
      <c r="G12" s="453"/>
      <c r="H12" s="362"/>
      <c r="I12" s="362"/>
      <c r="J12" s="362"/>
      <c r="K12" s="362"/>
      <c r="L12" s="362"/>
      <c r="M12" s="362"/>
      <c r="N12" s="362"/>
      <c r="O12" s="362"/>
      <c r="P12" s="362"/>
      <c r="Q12" s="362"/>
      <c r="R12" s="375"/>
      <c r="S12" s="375"/>
    </row>
    <row r="13" spans="1:19" s="371" customFormat="1" ht="13.5" thickBot="1" x14ac:dyDescent="0.25">
      <c r="A13" s="362"/>
      <c r="B13" s="377" t="s">
        <v>770</v>
      </c>
      <c r="C13" s="378"/>
      <c r="D13" s="378"/>
      <c r="E13" s="391"/>
      <c r="F13" s="391" t="s">
        <v>334</v>
      </c>
      <c r="G13" s="454"/>
      <c r="H13" s="362"/>
      <c r="I13" s="362"/>
      <c r="J13" s="362"/>
      <c r="K13" s="362"/>
      <c r="L13" s="362"/>
      <c r="M13" s="362"/>
      <c r="N13" s="362"/>
      <c r="O13" s="362"/>
      <c r="P13" s="362"/>
      <c r="Q13" s="362"/>
      <c r="R13" s="375"/>
      <c r="S13" s="375"/>
    </row>
    <row r="14" spans="1:19" s="371" customFormat="1" ht="12.75" customHeight="1" x14ac:dyDescent="0.2">
      <c r="A14" s="362"/>
      <c r="B14" s="362"/>
      <c r="C14" s="372"/>
      <c r="D14" s="362"/>
      <c r="E14" s="362"/>
      <c r="F14" s="362"/>
      <c r="G14" s="362"/>
      <c r="H14" s="362"/>
      <c r="I14" s="362"/>
      <c r="J14" s="362"/>
      <c r="K14" s="362"/>
      <c r="L14" s="362"/>
      <c r="M14" s="362"/>
      <c r="N14" s="362"/>
      <c r="O14" s="362"/>
      <c r="P14" s="362"/>
      <c r="Q14" s="362"/>
      <c r="R14" s="375"/>
      <c r="S14" s="375"/>
    </row>
    <row r="15" spans="1:19" s="371" customFormat="1" ht="12.75" customHeight="1" x14ac:dyDescent="0.2">
      <c r="A15" s="362"/>
      <c r="B15" s="362"/>
      <c r="C15" s="379"/>
      <c r="D15" s="380" t="s">
        <v>335</v>
      </c>
      <c r="E15" s="380" t="s">
        <v>336</v>
      </c>
      <c r="F15" s="380" t="s">
        <v>337</v>
      </c>
      <c r="G15" s="381" t="s">
        <v>338</v>
      </c>
      <c r="H15" s="362"/>
      <c r="I15" s="362"/>
      <c r="J15" s="362"/>
      <c r="K15" s="362"/>
      <c r="L15" s="362"/>
      <c r="M15" s="362"/>
      <c r="N15" s="362"/>
      <c r="O15" s="362"/>
      <c r="P15" s="362"/>
      <c r="Q15" s="362"/>
      <c r="R15" s="375"/>
      <c r="S15" s="375"/>
    </row>
    <row r="16" spans="1:19" s="371" customFormat="1" ht="12.75" customHeight="1" x14ac:dyDescent="0.2">
      <c r="A16" s="362"/>
      <c r="B16" s="382" t="s">
        <v>339</v>
      </c>
      <c r="C16" s="382"/>
      <c r="D16" s="382">
        <v>1</v>
      </c>
      <c r="E16" s="382">
        <v>2</v>
      </c>
      <c r="F16" s="382">
        <v>3</v>
      </c>
      <c r="G16" s="383">
        <v>4</v>
      </c>
      <c r="H16" s="383">
        <v>5</v>
      </c>
      <c r="I16" s="360"/>
      <c r="J16" s="362"/>
      <c r="K16" s="362"/>
      <c r="L16" s="362"/>
      <c r="M16" s="362"/>
      <c r="N16" s="362"/>
      <c r="O16" s="362"/>
      <c r="P16" s="362"/>
      <c r="Q16" s="362"/>
      <c r="R16" s="375"/>
      <c r="S16" s="375"/>
    </row>
    <row r="17" spans="1:19" s="287" customFormat="1" ht="28.5" customHeight="1" x14ac:dyDescent="0.2">
      <c r="A17" s="312" t="s">
        <v>340</v>
      </c>
      <c r="B17" s="313" t="s">
        <v>341</v>
      </c>
      <c r="C17" s="473">
        <v>-1000</v>
      </c>
      <c r="D17" s="316" t="s">
        <v>342</v>
      </c>
      <c r="E17" s="356" t="s">
        <v>142</v>
      </c>
      <c r="F17" s="316" t="s">
        <v>343</v>
      </c>
      <c r="G17" s="316" t="s">
        <v>772</v>
      </c>
      <c r="H17" s="392" t="s">
        <v>344</v>
      </c>
      <c r="I17" s="360"/>
      <c r="R17" s="375"/>
      <c r="S17" s="375"/>
    </row>
    <row r="18" spans="1:19" ht="13.15" customHeight="1" x14ac:dyDescent="0.2">
      <c r="B18" s="568" t="s">
        <v>345</v>
      </c>
      <c r="C18" s="569"/>
      <c r="D18" s="569"/>
      <c r="E18" s="569"/>
      <c r="F18" s="569"/>
      <c r="G18" s="320"/>
      <c r="H18" s="320"/>
      <c r="I18" s="362"/>
      <c r="K18" s="361" t="s">
        <v>346</v>
      </c>
      <c r="L18" s="361" t="s">
        <v>325</v>
      </c>
      <c r="M18" s="361"/>
      <c r="N18" s="474" t="s">
        <v>347</v>
      </c>
      <c r="O18" s="474" t="s">
        <v>348</v>
      </c>
      <c r="P18" s="475" t="s">
        <v>349</v>
      </c>
      <c r="Q18" s="475" t="s">
        <v>350</v>
      </c>
      <c r="R18" s="476" t="s">
        <v>767</v>
      </c>
      <c r="S18" s="375"/>
    </row>
    <row r="19" spans="1:19" ht="39.950000000000003" customHeight="1" x14ac:dyDescent="0.2">
      <c r="A19" s="565" t="s">
        <v>351</v>
      </c>
      <c r="B19" s="319" t="s">
        <v>352</v>
      </c>
      <c r="C19" s="384" t="s">
        <v>352</v>
      </c>
      <c r="D19" s="477"/>
      <c r="E19" s="478"/>
      <c r="F19" s="352">
        <f>+D19+E19</f>
        <v>0</v>
      </c>
      <c r="G19" s="385" t="s">
        <v>354</v>
      </c>
      <c r="H19" s="479"/>
      <c r="I19" s="309"/>
      <c r="J19" s="288">
        <f>COUNTIF(K19:L19,FALSE)</f>
        <v>0</v>
      </c>
      <c r="K19" s="288" t="b">
        <f t="shared" ref="K19:L22" si="0">ISBLANK(D19)</f>
        <v>1</v>
      </c>
      <c r="L19" s="288" t="b">
        <f t="shared" si="0"/>
        <v>1</v>
      </c>
      <c r="N19" s="480" t="b">
        <f>IF(E19&lt;&gt;0,IF(B19="Select an account",NOT(ISBLANK(B19)),ISBLANK(B19)))</f>
        <v>0</v>
      </c>
      <c r="O19" s="481" t="b">
        <f>IF(E19=0,IF(B19="Select an account",NOT(ISBLANK(B19)),ISBLANK(B19)))</f>
        <v>0</v>
      </c>
      <c r="P19" s="482" t="b">
        <f>IF(E19&lt;&gt;0,IF(G19="Select Reason",NOT(ISBLANK(G19)),ISBLANK(G19)))</f>
        <v>0</v>
      </c>
      <c r="Q19" s="482" t="b">
        <f>IF(E19=0,IF(G19="Select Reason",ISBLANK(G19),NOT(ISBLANK(G19))))</f>
        <v>0</v>
      </c>
      <c r="R19" s="483" t="b">
        <f>IF(E19=0,ISBLANK(H19),NOT(ISBLANK(H19)))</f>
        <v>1</v>
      </c>
      <c r="S19" s="375"/>
    </row>
    <row r="20" spans="1:19" ht="39.950000000000003" customHeight="1" x14ac:dyDescent="0.2">
      <c r="A20" s="565"/>
      <c r="B20" s="319" t="s">
        <v>355</v>
      </c>
      <c r="C20" s="384" t="s">
        <v>355</v>
      </c>
      <c r="D20" s="477"/>
      <c r="E20" s="478"/>
      <c r="F20" s="352">
        <f>+D20+E20</f>
        <v>0</v>
      </c>
      <c r="G20" s="385" t="s">
        <v>354</v>
      </c>
      <c r="H20" s="484"/>
      <c r="I20" s="309"/>
      <c r="J20" s="288">
        <f t="shared" ref="J20:J22" si="1">COUNTIF(K20:L20,FALSE)</f>
        <v>0</v>
      </c>
      <c r="K20" s="288" t="b">
        <f t="shared" si="0"/>
        <v>1</v>
      </c>
      <c r="L20" s="288" t="b">
        <f t="shared" si="0"/>
        <v>1</v>
      </c>
      <c r="N20" s="480" t="b">
        <f>IF(E20&lt;&gt;0,IF(B20="Select an account",NOT(ISBLANK(B20)),ISBLANK(B20)))</f>
        <v>0</v>
      </c>
      <c r="O20" s="481" t="b">
        <f>IF(E20=0,IF(B20="Select an account",NOT(ISBLANK(B20)),ISBLANK(B20)))</f>
        <v>0</v>
      </c>
      <c r="P20" s="482" t="b">
        <f>IF(E20&lt;&gt;0,IF(G20="Select Reason",NOT(ISBLANK(G20)),ISBLANK(G20)))</f>
        <v>0</v>
      </c>
      <c r="Q20" s="482" t="b">
        <f>IF(E20=0,IF(G20="Select Reason",ISBLANK(G20),NOT(ISBLANK(G20))))</f>
        <v>0</v>
      </c>
      <c r="R20" s="483" t="b">
        <f>IF(E20=0,ISBLANK(H20),NOT(ISBLANK(H20)))</f>
        <v>1</v>
      </c>
      <c r="S20" s="375"/>
    </row>
    <row r="21" spans="1:19" ht="39.950000000000003" customHeight="1" x14ac:dyDescent="0.2">
      <c r="A21" s="565"/>
      <c r="B21" s="319" t="s">
        <v>356</v>
      </c>
      <c r="C21" s="384" t="s">
        <v>356</v>
      </c>
      <c r="D21" s="477"/>
      <c r="E21" s="478"/>
      <c r="F21" s="352">
        <f>+D21+E21</f>
        <v>0</v>
      </c>
      <c r="G21" s="385" t="s">
        <v>354</v>
      </c>
      <c r="H21" s="484"/>
      <c r="I21" s="309"/>
      <c r="J21" s="288">
        <f t="shared" si="1"/>
        <v>0</v>
      </c>
      <c r="K21" s="288" t="b">
        <f t="shared" si="0"/>
        <v>1</v>
      </c>
      <c r="L21" s="288" t="b">
        <f t="shared" si="0"/>
        <v>1</v>
      </c>
      <c r="N21" s="480" t="b">
        <f>IF(E21&lt;&gt;0,IF(B21="Select an account",NOT(ISBLANK(B21)),ISBLANK(B21)))</f>
        <v>0</v>
      </c>
      <c r="O21" s="481" t="b">
        <f>IF(E21=0,IF(B21="R_Restricted - expendable",ISBLANK(B21),NOT(ISBLANK(B21))))</f>
        <v>0</v>
      </c>
      <c r="P21" s="482" t="b">
        <f>IF(E21&lt;&gt;0,IF(G21="Select Reason",NOT(ISBLANK(G21)),ISBLANK(G21)))</f>
        <v>0</v>
      </c>
      <c r="Q21" s="482" t="b">
        <f>IF(E21=0,IF(G21="Select Reason",ISBLANK(G21),NOT(ISBLANK(G21))))</f>
        <v>0</v>
      </c>
      <c r="R21" s="483" t="b">
        <f>IF(E21=0,ISBLANK(H21),NOT(ISBLANK(H21)))</f>
        <v>1</v>
      </c>
      <c r="S21" s="375"/>
    </row>
    <row r="22" spans="1:19" ht="39.950000000000003" customHeight="1" thickBot="1" x14ac:dyDescent="0.25">
      <c r="A22" s="565"/>
      <c r="B22" s="319" t="s">
        <v>357</v>
      </c>
      <c r="C22" s="384" t="s">
        <v>357</v>
      </c>
      <c r="D22" s="477">
        <v>100</v>
      </c>
      <c r="E22" s="478">
        <v>-1000</v>
      </c>
      <c r="F22" s="352">
        <f>+D22+E22</f>
        <v>-900</v>
      </c>
      <c r="G22" s="385" t="s">
        <v>762</v>
      </c>
      <c r="H22" s="479" t="s">
        <v>781</v>
      </c>
      <c r="I22" s="309"/>
      <c r="J22" s="288">
        <f t="shared" si="1"/>
        <v>2</v>
      </c>
      <c r="K22" s="288" t="b">
        <f t="shared" si="0"/>
        <v>0</v>
      </c>
      <c r="L22" s="288" t="b">
        <f t="shared" si="0"/>
        <v>0</v>
      </c>
      <c r="N22" s="480" t="b">
        <f>IF(E22&lt;&gt;0,IF(B22="Select an account",NOT(ISBLANK(B22)),ISBLANK(B22)))</f>
        <v>0</v>
      </c>
      <c r="O22" s="481" t="b">
        <f>IF(E22=0,IF(B22="R_Unrestricted",ISBLANK(B22),NOT(ISBLANK(B22))))</f>
        <v>0</v>
      </c>
      <c r="P22" s="482" t="b">
        <f>IF(E22&lt;&gt;0,IF(G22="Select Reason",NOT(ISBLANK(G22)),ISBLANK(G22)))</f>
        <v>0</v>
      </c>
      <c r="Q22" s="482" t="b">
        <f>IF(E22=0,IF(G22="Select Reason",ISBLANK(G22),NOT(ISBLANK(G22))))</f>
        <v>0</v>
      </c>
      <c r="R22" s="483" t="b">
        <f>IF(E22=0,ISBLANK(H22),NOT(ISBLANK(H22)))</f>
        <v>1</v>
      </c>
      <c r="S22" s="375"/>
    </row>
    <row r="23" spans="1:19" ht="39.950000000000003" customHeight="1" thickBot="1" x14ac:dyDescent="0.25">
      <c r="A23" s="400" t="s">
        <v>358</v>
      </c>
      <c r="B23" s="325"/>
      <c r="C23" s="325"/>
      <c r="D23" s="396" t="str">
        <f>IF(C17=0,"OK",IF(C17&lt;&gt;0,IF((SUM(D19:D22)=0),"Enter beginning balance","OK")))</f>
        <v>OK</v>
      </c>
      <c r="E23" s="396" t="str">
        <f>IF(C17=0,"OK",IF(C17&lt;&gt;0,IF((SUM(E19:E22)=C17),"OK","Check restatement amount")))</f>
        <v>OK</v>
      </c>
      <c r="F23" s="325"/>
      <c r="G23" s="325"/>
      <c r="H23" s="325"/>
      <c r="I23" s="309"/>
      <c r="N23" s="480"/>
      <c r="O23" s="481"/>
      <c r="P23" s="482"/>
      <c r="Q23" s="482"/>
      <c r="R23" s="483"/>
      <c r="S23" s="375"/>
    </row>
    <row r="24" spans="1:19" ht="12.75" x14ac:dyDescent="0.2">
      <c r="A24" s="223"/>
      <c r="B24" s="321" t="s">
        <v>359</v>
      </c>
      <c r="C24" s="350"/>
      <c r="D24" s="351"/>
      <c r="E24" s="351"/>
      <c r="F24" s="351"/>
      <c r="G24" s="585"/>
      <c r="H24" s="566"/>
      <c r="I24" s="361"/>
      <c r="N24" s="480"/>
      <c r="O24" s="480"/>
      <c r="P24" s="482"/>
      <c r="Q24" s="482"/>
      <c r="R24" s="483"/>
      <c r="S24" s="375"/>
    </row>
    <row r="25" spans="1:19" ht="12.75" x14ac:dyDescent="0.2">
      <c r="A25" s="223"/>
      <c r="B25" s="321" t="s">
        <v>55</v>
      </c>
      <c r="C25" s="348" t="s">
        <v>360</v>
      </c>
      <c r="D25" s="349"/>
      <c r="E25" s="349"/>
      <c r="F25" s="349"/>
      <c r="G25" s="586"/>
      <c r="H25" s="567"/>
      <c r="I25" s="361"/>
      <c r="N25" s="480"/>
      <c r="O25" s="480"/>
      <c r="P25" s="482"/>
      <c r="Q25" s="482"/>
      <c r="R25" s="483"/>
      <c r="S25" s="375"/>
    </row>
    <row r="26" spans="1:19" ht="39.950000000000003" customHeight="1" x14ac:dyDescent="0.2">
      <c r="A26" s="565" t="s">
        <v>361</v>
      </c>
      <c r="B26" s="485" t="s">
        <v>362</v>
      </c>
      <c r="C26" s="385" t="str">
        <f>VLOOKUP(B26,Notes!$E$3:$F$27,2,FALSE)</f>
        <v>OSC Use only</v>
      </c>
      <c r="D26" s="486"/>
      <c r="E26" s="487"/>
      <c r="F26" s="434">
        <f>+D26+E26</f>
        <v>0</v>
      </c>
      <c r="G26" s="385" t="s">
        <v>354</v>
      </c>
      <c r="H26" s="479"/>
      <c r="I26" s="309"/>
      <c r="J26" s="288">
        <f t="shared" ref="J26:J27" si="2">COUNTIF(K26:L26,FALSE)</f>
        <v>0</v>
      </c>
      <c r="K26" s="386" t="b">
        <f t="shared" ref="K26:L33" si="3">ISBLANK(D26)</f>
        <v>1</v>
      </c>
      <c r="L26" s="386" t="b">
        <f t="shared" si="3"/>
        <v>1</v>
      </c>
      <c r="M26" s="386"/>
      <c r="N26" s="480" t="b">
        <f t="shared" ref="N26:N33" si="4">IF(E26&lt;&gt;0,IF(B26="Select an account",NOT(ISBLANK(B26)),ISBLANK(B26)))</f>
        <v>0</v>
      </c>
      <c r="O26" s="481" t="b">
        <f t="shared" ref="O26:O33" si="5">IF(E26=0,IF(B26="Select an account",ISBLANK(B26),NOT(ISBLANK(B26))))</f>
        <v>0</v>
      </c>
      <c r="P26" s="409" t="b">
        <f t="shared" ref="P26:P33" si="6">IF(E26&lt;&gt;0,IF(G26="Select Reason",NOT(ISBLANK(G26)),ISBLANK(G26)))</f>
        <v>0</v>
      </c>
      <c r="Q26" s="409" t="b">
        <f t="shared" ref="Q26:Q33" si="7">IF(E26=0,IF(G26="Select Reason",ISBLANK(G26),NOT(ISBLANK(G26))))</f>
        <v>0</v>
      </c>
      <c r="R26" s="483" t="b">
        <f t="shared" ref="R26:R33" si="8">IF(E26=0,ISBLANK(H26),NOT(ISBLANK(H26)))</f>
        <v>1</v>
      </c>
      <c r="S26" s="375"/>
    </row>
    <row r="27" spans="1:19" ht="39.950000000000003" customHeight="1" x14ac:dyDescent="0.2">
      <c r="A27" s="565"/>
      <c r="B27" s="485" t="s">
        <v>362</v>
      </c>
      <c r="C27" s="385" t="str">
        <f>VLOOKUP(B27,Notes!$E$3:$F$27,2,FALSE)</f>
        <v>OSC Use only</v>
      </c>
      <c r="D27" s="486"/>
      <c r="E27" s="487"/>
      <c r="F27" s="434">
        <f>+D27+E27</f>
        <v>0</v>
      </c>
      <c r="G27" s="385" t="s">
        <v>354</v>
      </c>
      <c r="H27" s="479"/>
      <c r="I27" s="309"/>
      <c r="J27" s="288">
        <f t="shared" si="2"/>
        <v>0</v>
      </c>
      <c r="K27" s="386" t="b">
        <f t="shared" si="3"/>
        <v>1</v>
      </c>
      <c r="L27" s="386" t="b">
        <f t="shared" si="3"/>
        <v>1</v>
      </c>
      <c r="M27" s="386"/>
      <c r="N27" s="480" t="b">
        <f t="shared" si="4"/>
        <v>0</v>
      </c>
      <c r="O27" s="481" t="b">
        <f t="shared" si="5"/>
        <v>0</v>
      </c>
      <c r="P27" s="409" t="b">
        <f t="shared" si="6"/>
        <v>0</v>
      </c>
      <c r="Q27" s="409" t="b">
        <f t="shared" si="7"/>
        <v>0</v>
      </c>
      <c r="R27" s="483" t="b">
        <f t="shared" si="8"/>
        <v>1</v>
      </c>
      <c r="S27" s="375"/>
    </row>
    <row r="28" spans="1:19" ht="39.950000000000003" customHeight="1" x14ac:dyDescent="0.2">
      <c r="A28" s="565"/>
      <c r="B28" s="485" t="s">
        <v>362</v>
      </c>
      <c r="C28" s="385" t="str">
        <f>VLOOKUP(B28,Notes!$E$3:$F$27,2,FALSE)</f>
        <v>OSC Use only</v>
      </c>
      <c r="D28" s="486"/>
      <c r="E28" s="487"/>
      <c r="F28" s="434">
        <f>+D28+E28</f>
        <v>0</v>
      </c>
      <c r="G28" s="385" t="s">
        <v>354</v>
      </c>
      <c r="H28" s="484"/>
      <c r="I28" s="309"/>
      <c r="J28" s="288">
        <f>COUNTIF(K28:L28,FALSE)</f>
        <v>0</v>
      </c>
      <c r="K28" s="386" t="b">
        <f t="shared" si="3"/>
        <v>1</v>
      </c>
      <c r="L28" s="386" t="b">
        <f t="shared" si="3"/>
        <v>1</v>
      </c>
      <c r="M28" s="386"/>
      <c r="N28" s="480" t="b">
        <f t="shared" si="4"/>
        <v>0</v>
      </c>
      <c r="O28" s="481" t="b">
        <f t="shared" si="5"/>
        <v>0</v>
      </c>
      <c r="P28" s="409" t="b">
        <f t="shared" si="6"/>
        <v>0</v>
      </c>
      <c r="Q28" s="409" t="b">
        <f t="shared" si="7"/>
        <v>0</v>
      </c>
      <c r="R28" s="483" t="b">
        <f t="shared" si="8"/>
        <v>1</v>
      </c>
      <c r="S28" s="375"/>
    </row>
    <row r="29" spans="1:19" ht="39.950000000000003" customHeight="1" x14ac:dyDescent="0.2">
      <c r="A29" s="565"/>
      <c r="B29" s="485" t="s">
        <v>362</v>
      </c>
      <c r="C29" s="385" t="str">
        <f>VLOOKUP(B29,Notes!$E$3:$F$27,2,FALSE)</f>
        <v>OSC Use only</v>
      </c>
      <c r="D29" s="486"/>
      <c r="E29" s="487"/>
      <c r="F29" s="434">
        <f t="shared" ref="F29:F33" si="9">+D29+E29</f>
        <v>0</v>
      </c>
      <c r="G29" s="385" t="s">
        <v>354</v>
      </c>
      <c r="H29" s="484"/>
      <c r="I29" s="309"/>
      <c r="J29" s="288">
        <f t="shared" ref="J29:J33" si="10">COUNTIF(K29:L29,FALSE)</f>
        <v>0</v>
      </c>
      <c r="K29" s="386" t="b">
        <f t="shared" si="3"/>
        <v>1</v>
      </c>
      <c r="L29" s="386" t="b">
        <f t="shared" si="3"/>
        <v>1</v>
      </c>
      <c r="M29" s="386"/>
      <c r="N29" s="480" t="b">
        <f t="shared" si="4"/>
        <v>0</v>
      </c>
      <c r="O29" s="481" t="b">
        <f t="shared" si="5"/>
        <v>0</v>
      </c>
      <c r="P29" s="409" t="b">
        <f t="shared" si="6"/>
        <v>0</v>
      </c>
      <c r="Q29" s="409" t="b">
        <f t="shared" si="7"/>
        <v>0</v>
      </c>
      <c r="R29" s="483" t="b">
        <f t="shared" si="8"/>
        <v>1</v>
      </c>
      <c r="S29" s="375"/>
    </row>
    <row r="30" spans="1:19" ht="39.950000000000003" customHeight="1" x14ac:dyDescent="0.2">
      <c r="A30" s="565"/>
      <c r="B30" s="485" t="s">
        <v>362</v>
      </c>
      <c r="C30" s="385" t="str">
        <f>VLOOKUP(B30,Notes!$E$3:$F$27,2,FALSE)</f>
        <v>OSC Use only</v>
      </c>
      <c r="D30" s="486"/>
      <c r="E30" s="487"/>
      <c r="F30" s="434">
        <f t="shared" si="9"/>
        <v>0</v>
      </c>
      <c r="G30" s="385" t="s">
        <v>354</v>
      </c>
      <c r="H30" s="484"/>
      <c r="I30" s="309"/>
      <c r="J30" s="288">
        <f t="shared" si="10"/>
        <v>0</v>
      </c>
      <c r="K30" s="386" t="b">
        <f t="shared" si="3"/>
        <v>1</v>
      </c>
      <c r="L30" s="386" t="b">
        <f t="shared" si="3"/>
        <v>1</v>
      </c>
      <c r="M30" s="386"/>
      <c r="N30" s="480" t="b">
        <f t="shared" si="4"/>
        <v>0</v>
      </c>
      <c r="O30" s="481" t="b">
        <f t="shared" si="5"/>
        <v>0</v>
      </c>
      <c r="P30" s="409" t="b">
        <f t="shared" si="6"/>
        <v>0</v>
      </c>
      <c r="Q30" s="409" t="b">
        <f t="shared" si="7"/>
        <v>0</v>
      </c>
      <c r="R30" s="483" t="b">
        <f t="shared" si="8"/>
        <v>1</v>
      </c>
      <c r="S30" s="375"/>
    </row>
    <row r="31" spans="1:19" ht="39.950000000000003" customHeight="1" x14ac:dyDescent="0.2">
      <c r="A31" s="565"/>
      <c r="B31" s="485" t="s">
        <v>362</v>
      </c>
      <c r="C31" s="385" t="str">
        <f>VLOOKUP(B31,Notes!$E$3:$F$27,2,FALSE)</f>
        <v>OSC Use only</v>
      </c>
      <c r="D31" s="486"/>
      <c r="E31" s="487"/>
      <c r="F31" s="434">
        <f t="shared" si="9"/>
        <v>0</v>
      </c>
      <c r="G31" s="385" t="s">
        <v>354</v>
      </c>
      <c r="H31" s="484"/>
      <c r="I31" s="309"/>
      <c r="J31" s="288">
        <f t="shared" si="10"/>
        <v>0</v>
      </c>
      <c r="K31" s="386" t="b">
        <f t="shared" si="3"/>
        <v>1</v>
      </c>
      <c r="L31" s="386" t="b">
        <f t="shared" si="3"/>
        <v>1</v>
      </c>
      <c r="M31" s="386"/>
      <c r="N31" s="480" t="b">
        <f t="shared" si="4"/>
        <v>0</v>
      </c>
      <c r="O31" s="481" t="b">
        <f t="shared" si="5"/>
        <v>0</v>
      </c>
      <c r="P31" s="409" t="b">
        <f t="shared" si="6"/>
        <v>0</v>
      </c>
      <c r="Q31" s="409" t="b">
        <f t="shared" si="7"/>
        <v>0</v>
      </c>
      <c r="R31" s="483" t="b">
        <f t="shared" si="8"/>
        <v>1</v>
      </c>
      <c r="S31" s="375"/>
    </row>
    <row r="32" spans="1:19" ht="39.950000000000003" customHeight="1" x14ac:dyDescent="0.2">
      <c r="A32" s="565"/>
      <c r="B32" s="485" t="s">
        <v>362</v>
      </c>
      <c r="C32" s="385" t="str">
        <f>VLOOKUP(B32,Notes!$E$3:$F$27,2,FALSE)</f>
        <v>OSC Use only</v>
      </c>
      <c r="D32" s="486"/>
      <c r="E32" s="487"/>
      <c r="F32" s="434">
        <f t="shared" si="9"/>
        <v>0</v>
      </c>
      <c r="G32" s="385" t="s">
        <v>354</v>
      </c>
      <c r="H32" s="484"/>
      <c r="I32" s="309"/>
      <c r="J32" s="288">
        <f t="shared" si="10"/>
        <v>0</v>
      </c>
      <c r="K32" s="386" t="b">
        <f t="shared" si="3"/>
        <v>1</v>
      </c>
      <c r="L32" s="386" t="b">
        <f t="shared" si="3"/>
        <v>1</v>
      </c>
      <c r="M32" s="386"/>
      <c r="N32" s="480" t="b">
        <f t="shared" si="4"/>
        <v>0</v>
      </c>
      <c r="O32" s="481" t="b">
        <f t="shared" si="5"/>
        <v>0</v>
      </c>
      <c r="P32" s="409" t="b">
        <f t="shared" si="6"/>
        <v>0</v>
      </c>
      <c r="Q32" s="409" t="b">
        <f t="shared" si="7"/>
        <v>0</v>
      </c>
      <c r="R32" s="483" t="b">
        <f t="shared" si="8"/>
        <v>1</v>
      </c>
      <c r="S32" s="375"/>
    </row>
    <row r="33" spans="1:19" ht="39.950000000000003" customHeight="1" x14ac:dyDescent="0.2">
      <c r="A33" s="565"/>
      <c r="B33" s="485" t="s">
        <v>362</v>
      </c>
      <c r="C33" s="385" t="str">
        <f>VLOOKUP(B33,Notes!$E$3:$F$27,2,FALSE)</f>
        <v>OSC Use only</v>
      </c>
      <c r="D33" s="486"/>
      <c r="E33" s="487"/>
      <c r="F33" s="434">
        <f t="shared" si="9"/>
        <v>0</v>
      </c>
      <c r="G33" s="385" t="s">
        <v>354</v>
      </c>
      <c r="H33" s="484"/>
      <c r="I33" s="309"/>
      <c r="J33" s="288">
        <f t="shared" si="10"/>
        <v>0</v>
      </c>
      <c r="K33" s="386" t="b">
        <f t="shared" si="3"/>
        <v>1</v>
      </c>
      <c r="L33" s="386" t="b">
        <f t="shared" si="3"/>
        <v>1</v>
      </c>
      <c r="M33" s="386"/>
      <c r="N33" s="480" t="b">
        <f t="shared" si="4"/>
        <v>0</v>
      </c>
      <c r="O33" s="481" t="b">
        <f t="shared" si="5"/>
        <v>0</v>
      </c>
      <c r="P33" s="409" t="b">
        <f t="shared" si="6"/>
        <v>0</v>
      </c>
      <c r="Q33" s="409" t="b">
        <f t="shared" si="7"/>
        <v>0</v>
      </c>
      <c r="R33" s="483" t="b">
        <f t="shared" si="8"/>
        <v>1</v>
      </c>
      <c r="S33" s="375"/>
    </row>
    <row r="34" spans="1:19" ht="12.75" x14ac:dyDescent="0.2">
      <c r="B34" s="321" t="s">
        <v>363</v>
      </c>
      <c r="C34" s="348" t="s">
        <v>364</v>
      </c>
      <c r="D34" s="349"/>
      <c r="E34" s="349"/>
      <c r="F34" s="349"/>
      <c r="G34" s="325"/>
      <c r="H34" s="320"/>
      <c r="I34" s="362"/>
      <c r="N34" s="480"/>
      <c r="O34" s="480"/>
      <c r="P34" s="482"/>
      <c r="Q34" s="482"/>
      <c r="R34" s="483"/>
      <c r="S34" s="375"/>
    </row>
    <row r="35" spans="1:19" ht="39.950000000000003" customHeight="1" x14ac:dyDescent="0.2">
      <c r="A35" s="565" t="s">
        <v>365</v>
      </c>
      <c r="B35" s="485" t="s">
        <v>780</v>
      </c>
      <c r="C35" s="385" t="str">
        <f>VLOOKUP(B35,Notes!$E$29:$F$839,2,FALSE)</f>
        <v>R_Compensated absences_noncurrent</v>
      </c>
      <c r="D35" s="486">
        <v>0</v>
      </c>
      <c r="E35" s="487">
        <v>1000</v>
      </c>
      <c r="F35" s="434">
        <f>+D35+E35</f>
        <v>1000</v>
      </c>
      <c r="G35" s="385" t="s">
        <v>762</v>
      </c>
      <c r="H35" s="479" t="s">
        <v>782</v>
      </c>
      <c r="I35" s="309"/>
      <c r="J35" s="288">
        <f t="shared" ref="J35:J42" si="11">COUNTIF(K35:L35,FALSE)</f>
        <v>2</v>
      </c>
      <c r="K35" s="386" t="b">
        <f t="shared" ref="K35:L42" si="12">ISBLANK(D35)</f>
        <v>0</v>
      </c>
      <c r="L35" s="386" t="b">
        <f t="shared" si="12"/>
        <v>0</v>
      </c>
      <c r="M35" s="386"/>
      <c r="N35" s="480" t="b">
        <f t="shared" ref="N35:N42" si="13">IF(E35&lt;&gt;0,IF(B35="Select an account",NOT(ISBLANK(B35)),ISBLANK(B35)))</f>
        <v>0</v>
      </c>
      <c r="O35" s="481" t="b">
        <f t="shared" ref="O35:O42" si="14">IF(E35=0,IF(B35="Select an account",ISBLANK(B35),NOT(ISBLANK(B35))))</f>
        <v>0</v>
      </c>
      <c r="P35" s="409" t="b">
        <f t="shared" ref="P35:P42" si="15">IF(E35&lt;&gt;0,IF(G35="Select Reason",NOT(ISBLANK(G35)),ISBLANK(G35)))</f>
        <v>0</v>
      </c>
      <c r="Q35" s="482" t="b">
        <f t="shared" ref="Q35:Q42" si="16">IF(E35=0,IF(G35="Select Reason",ISBLANK(G35),NOT(ISBLANK(G35))))</f>
        <v>0</v>
      </c>
      <c r="R35" s="483" t="b">
        <f t="shared" ref="R35:R42" si="17">IF(E35=0,ISBLANK(H35),NOT(ISBLANK(H35)))</f>
        <v>1</v>
      </c>
      <c r="S35" s="375"/>
    </row>
    <row r="36" spans="1:19" ht="39.950000000000003" customHeight="1" x14ac:dyDescent="0.2">
      <c r="A36" s="565"/>
      <c r="B36" s="485" t="s">
        <v>362</v>
      </c>
      <c r="C36" s="385" t="str">
        <f>VLOOKUP(B36,Notes!$E$29:$F$839,2,FALSE)</f>
        <v>OSC Use only</v>
      </c>
      <c r="D36" s="486"/>
      <c r="E36" s="487"/>
      <c r="F36" s="434">
        <f>+D36+E36</f>
        <v>0</v>
      </c>
      <c r="G36" s="385" t="s">
        <v>354</v>
      </c>
      <c r="H36" s="484"/>
      <c r="I36" s="309"/>
      <c r="J36" s="288">
        <f t="shared" si="11"/>
        <v>0</v>
      </c>
      <c r="K36" s="386" t="b">
        <f t="shared" si="12"/>
        <v>1</v>
      </c>
      <c r="L36" s="386" t="b">
        <f t="shared" si="12"/>
        <v>1</v>
      </c>
      <c r="M36" s="386"/>
      <c r="N36" s="480" t="b">
        <f t="shared" si="13"/>
        <v>0</v>
      </c>
      <c r="O36" s="481" t="b">
        <f t="shared" si="14"/>
        <v>0</v>
      </c>
      <c r="P36" s="409" t="b">
        <f t="shared" si="15"/>
        <v>0</v>
      </c>
      <c r="Q36" s="482" t="b">
        <f t="shared" si="16"/>
        <v>0</v>
      </c>
      <c r="R36" s="483" t="b">
        <f t="shared" si="17"/>
        <v>1</v>
      </c>
      <c r="S36" s="375"/>
    </row>
    <row r="37" spans="1:19" ht="39.950000000000003" customHeight="1" x14ac:dyDescent="0.2">
      <c r="A37" s="565"/>
      <c r="B37" s="485" t="s">
        <v>362</v>
      </c>
      <c r="C37" s="385" t="str">
        <f>VLOOKUP(B37,Notes!$E$29:$F$839,2,FALSE)</f>
        <v>OSC Use only</v>
      </c>
      <c r="D37" s="486"/>
      <c r="E37" s="488"/>
      <c r="F37" s="434">
        <f>+D37+E37</f>
        <v>0</v>
      </c>
      <c r="G37" s="385" t="s">
        <v>354</v>
      </c>
      <c r="H37" s="484"/>
      <c r="I37" s="309"/>
      <c r="J37" s="288">
        <f t="shared" si="11"/>
        <v>0</v>
      </c>
      <c r="K37" s="386" t="b">
        <f t="shared" si="12"/>
        <v>1</v>
      </c>
      <c r="L37" s="386" t="b">
        <f t="shared" si="12"/>
        <v>1</v>
      </c>
      <c r="M37" s="386"/>
      <c r="N37" s="480" t="b">
        <f t="shared" si="13"/>
        <v>0</v>
      </c>
      <c r="O37" s="481" t="b">
        <f t="shared" si="14"/>
        <v>0</v>
      </c>
      <c r="P37" s="409" t="b">
        <f t="shared" si="15"/>
        <v>0</v>
      </c>
      <c r="Q37" s="482" t="b">
        <f t="shared" si="16"/>
        <v>0</v>
      </c>
      <c r="R37" s="483" t="b">
        <f t="shared" si="17"/>
        <v>1</v>
      </c>
      <c r="S37" s="375"/>
    </row>
    <row r="38" spans="1:19" ht="39.950000000000003" customHeight="1" x14ac:dyDescent="0.2">
      <c r="A38" s="565"/>
      <c r="B38" s="485" t="s">
        <v>362</v>
      </c>
      <c r="C38" s="385" t="str">
        <f>VLOOKUP(B38,Notes!$E$29:$F$839,2,FALSE)</f>
        <v>OSC Use only</v>
      </c>
      <c r="D38" s="486"/>
      <c r="E38" s="487"/>
      <c r="F38" s="434">
        <f t="shared" ref="F38:F42" si="18">+D38+E38</f>
        <v>0</v>
      </c>
      <c r="G38" s="385" t="s">
        <v>354</v>
      </c>
      <c r="H38" s="484"/>
      <c r="I38" s="309"/>
      <c r="J38" s="288">
        <f t="shared" si="11"/>
        <v>0</v>
      </c>
      <c r="K38" s="386" t="b">
        <f t="shared" si="12"/>
        <v>1</v>
      </c>
      <c r="L38" s="386" t="b">
        <f t="shared" si="12"/>
        <v>1</v>
      </c>
      <c r="M38" s="386"/>
      <c r="N38" s="480" t="b">
        <f t="shared" si="13"/>
        <v>0</v>
      </c>
      <c r="O38" s="481" t="b">
        <f t="shared" si="14"/>
        <v>0</v>
      </c>
      <c r="P38" s="409" t="b">
        <f t="shared" si="15"/>
        <v>0</v>
      </c>
      <c r="Q38" s="482" t="b">
        <f t="shared" si="16"/>
        <v>0</v>
      </c>
      <c r="R38" s="483" t="b">
        <f t="shared" si="17"/>
        <v>1</v>
      </c>
      <c r="S38" s="375"/>
    </row>
    <row r="39" spans="1:19" ht="39.950000000000003" customHeight="1" x14ac:dyDescent="0.2">
      <c r="A39" s="565"/>
      <c r="B39" s="485" t="s">
        <v>362</v>
      </c>
      <c r="C39" s="385" t="str">
        <f>VLOOKUP(B39,Notes!$E$29:$F$839,2,FALSE)</f>
        <v>OSC Use only</v>
      </c>
      <c r="D39" s="486"/>
      <c r="E39" s="487"/>
      <c r="F39" s="434">
        <f t="shared" si="18"/>
        <v>0</v>
      </c>
      <c r="G39" s="385" t="s">
        <v>354</v>
      </c>
      <c r="H39" s="484"/>
      <c r="I39" s="309"/>
      <c r="J39" s="288">
        <f t="shared" si="11"/>
        <v>0</v>
      </c>
      <c r="K39" s="386" t="b">
        <f t="shared" si="12"/>
        <v>1</v>
      </c>
      <c r="L39" s="386" t="b">
        <f t="shared" si="12"/>
        <v>1</v>
      </c>
      <c r="M39" s="386"/>
      <c r="N39" s="480" t="b">
        <f t="shared" si="13"/>
        <v>0</v>
      </c>
      <c r="O39" s="481" t="b">
        <f t="shared" si="14"/>
        <v>0</v>
      </c>
      <c r="P39" s="409" t="b">
        <f t="shared" si="15"/>
        <v>0</v>
      </c>
      <c r="Q39" s="482" t="b">
        <f t="shared" si="16"/>
        <v>0</v>
      </c>
      <c r="R39" s="483" t="b">
        <f t="shared" si="17"/>
        <v>1</v>
      </c>
      <c r="S39" s="375"/>
    </row>
    <row r="40" spans="1:19" ht="39.950000000000003" customHeight="1" x14ac:dyDescent="0.2">
      <c r="A40" s="565"/>
      <c r="B40" s="485" t="s">
        <v>362</v>
      </c>
      <c r="C40" s="385" t="str">
        <f>VLOOKUP(B40,Notes!$E$29:$F$839,2,FALSE)</f>
        <v>OSC Use only</v>
      </c>
      <c r="D40" s="486"/>
      <c r="E40" s="488"/>
      <c r="F40" s="434">
        <f t="shared" si="18"/>
        <v>0</v>
      </c>
      <c r="G40" s="385" t="s">
        <v>354</v>
      </c>
      <c r="H40" s="484"/>
      <c r="I40" s="309"/>
      <c r="J40" s="288">
        <f t="shared" si="11"/>
        <v>0</v>
      </c>
      <c r="K40" s="386" t="b">
        <f t="shared" si="12"/>
        <v>1</v>
      </c>
      <c r="L40" s="386" t="b">
        <f t="shared" si="12"/>
        <v>1</v>
      </c>
      <c r="M40" s="386"/>
      <c r="N40" s="480" t="b">
        <f t="shared" si="13"/>
        <v>0</v>
      </c>
      <c r="O40" s="481" t="b">
        <f t="shared" si="14"/>
        <v>0</v>
      </c>
      <c r="P40" s="409" t="b">
        <f t="shared" si="15"/>
        <v>0</v>
      </c>
      <c r="Q40" s="482" t="b">
        <f t="shared" si="16"/>
        <v>0</v>
      </c>
      <c r="R40" s="483" t="b">
        <f t="shared" si="17"/>
        <v>1</v>
      </c>
      <c r="S40" s="375"/>
    </row>
    <row r="41" spans="1:19" ht="39.950000000000003" customHeight="1" x14ac:dyDescent="0.2">
      <c r="A41" s="565"/>
      <c r="B41" s="485" t="s">
        <v>362</v>
      </c>
      <c r="C41" s="385" t="str">
        <f>VLOOKUP(B41,Notes!$E$29:$F$839,2,FALSE)</f>
        <v>OSC Use only</v>
      </c>
      <c r="D41" s="486"/>
      <c r="E41" s="487"/>
      <c r="F41" s="434">
        <f t="shared" si="18"/>
        <v>0</v>
      </c>
      <c r="G41" s="385" t="s">
        <v>354</v>
      </c>
      <c r="H41" s="484"/>
      <c r="I41" s="309"/>
      <c r="J41" s="288">
        <f t="shared" si="11"/>
        <v>0</v>
      </c>
      <c r="K41" s="386" t="b">
        <f t="shared" si="12"/>
        <v>1</v>
      </c>
      <c r="L41" s="386" t="b">
        <f t="shared" si="12"/>
        <v>1</v>
      </c>
      <c r="M41" s="386"/>
      <c r="N41" s="480" t="b">
        <f t="shared" si="13"/>
        <v>0</v>
      </c>
      <c r="O41" s="481" t="b">
        <f t="shared" si="14"/>
        <v>0</v>
      </c>
      <c r="P41" s="409" t="b">
        <f t="shared" si="15"/>
        <v>0</v>
      </c>
      <c r="Q41" s="482" t="b">
        <f t="shared" si="16"/>
        <v>0</v>
      </c>
      <c r="R41" s="483" t="b">
        <f t="shared" si="17"/>
        <v>1</v>
      </c>
      <c r="S41" s="375"/>
    </row>
    <row r="42" spans="1:19" ht="39.950000000000003" customHeight="1" thickBot="1" x14ac:dyDescent="0.25">
      <c r="A42" s="565"/>
      <c r="B42" s="485" t="s">
        <v>362</v>
      </c>
      <c r="C42" s="385" t="str">
        <f>VLOOKUP(B42,Notes!$E$29:$F$839,2,FALSE)</f>
        <v>OSC Use only</v>
      </c>
      <c r="D42" s="486"/>
      <c r="E42" s="487"/>
      <c r="F42" s="434">
        <f t="shared" si="18"/>
        <v>0</v>
      </c>
      <c r="G42" s="385" t="s">
        <v>354</v>
      </c>
      <c r="H42" s="484"/>
      <c r="I42" s="309"/>
      <c r="J42" s="288">
        <f t="shared" si="11"/>
        <v>0</v>
      </c>
      <c r="K42" s="386" t="b">
        <f t="shared" si="12"/>
        <v>1</v>
      </c>
      <c r="L42" s="386" t="b">
        <f t="shared" si="12"/>
        <v>1</v>
      </c>
      <c r="M42" s="386"/>
      <c r="N42" s="480" t="b">
        <f t="shared" si="13"/>
        <v>0</v>
      </c>
      <c r="O42" s="481" t="b">
        <f t="shared" si="14"/>
        <v>0</v>
      </c>
      <c r="P42" s="409" t="b">
        <f t="shared" si="15"/>
        <v>0</v>
      </c>
      <c r="Q42" s="482" t="b">
        <f t="shared" si="16"/>
        <v>0</v>
      </c>
      <c r="R42" s="483" t="b">
        <f t="shared" si="17"/>
        <v>1</v>
      </c>
      <c r="S42" s="375"/>
    </row>
    <row r="43" spans="1:19" ht="18.75" thickBot="1" x14ac:dyDescent="0.25">
      <c r="B43" s="575" t="s">
        <v>366</v>
      </c>
      <c r="C43" s="575"/>
      <c r="D43" s="576"/>
      <c r="E43" s="489">
        <f>SUM(E26:E33)-SUM(E35:E42)</f>
        <v>-1000</v>
      </c>
      <c r="F43" s="418" t="str">
        <f>IF(E43&lt;&gt;0,"Ensure Balance Sheet Change Equals Operating Statement Change","")</f>
        <v>Ensure Balance Sheet Change Equals Operating Statement Change</v>
      </c>
      <c r="G43" s="367"/>
      <c r="H43" s="367"/>
      <c r="I43" s="309"/>
      <c r="K43" s="386"/>
      <c r="L43" s="386"/>
      <c r="M43" s="386"/>
      <c r="N43" s="480"/>
      <c r="O43" s="481"/>
      <c r="P43" s="409"/>
      <c r="Q43" s="482"/>
      <c r="R43" s="483"/>
      <c r="S43" s="375"/>
    </row>
    <row r="44" spans="1:19" ht="12.75" x14ac:dyDescent="0.2">
      <c r="B44" s="321" t="s">
        <v>310</v>
      </c>
      <c r="C44" s="348" t="s">
        <v>367</v>
      </c>
      <c r="D44" s="349"/>
      <c r="E44" s="394"/>
      <c r="F44" s="349"/>
      <c r="G44" s="325"/>
      <c r="H44" s="322"/>
      <c r="I44" s="361"/>
      <c r="N44" s="480"/>
      <c r="O44" s="480"/>
      <c r="P44" s="482"/>
      <c r="Q44" s="482"/>
      <c r="R44" s="483"/>
      <c r="S44" s="375"/>
    </row>
    <row r="45" spans="1:19" ht="39.950000000000003" customHeight="1" x14ac:dyDescent="0.2">
      <c r="A45" s="565" t="s">
        <v>368</v>
      </c>
      <c r="B45" s="485" t="s">
        <v>362</v>
      </c>
      <c r="C45" s="385" t="str">
        <f>VLOOKUP(B45,Notes!$E$59:$F$68,2,FALSE)</f>
        <v>OSC Use only</v>
      </c>
      <c r="D45" s="486"/>
      <c r="E45" s="487"/>
      <c r="F45" s="434">
        <f>+D45+E45</f>
        <v>0</v>
      </c>
      <c r="G45" s="385" t="s">
        <v>354</v>
      </c>
      <c r="H45" s="484"/>
      <c r="I45" s="309"/>
      <c r="J45" s="288">
        <f t="shared" ref="J45:J52" si="19">COUNTIF(K45:L45,FALSE)</f>
        <v>0</v>
      </c>
      <c r="K45" s="386" t="b">
        <f t="shared" ref="K45:L52" si="20">ISBLANK(D45)</f>
        <v>1</v>
      </c>
      <c r="L45" s="386" t="b">
        <f t="shared" si="20"/>
        <v>1</v>
      </c>
      <c r="M45" s="386"/>
      <c r="N45" s="480" t="b">
        <f t="shared" ref="N45:N52" si="21">IF(E45&lt;&gt;0,IF(B45="Select an account",NOT(ISBLANK(B45)),ISBLANK(B45)))</f>
        <v>0</v>
      </c>
      <c r="O45" s="481" t="b">
        <f t="shared" ref="O45:O52" si="22">IF(E45=0,IF(B45="Select an account",ISBLANK(B45),NOT(ISBLANK(B45))))</f>
        <v>0</v>
      </c>
      <c r="P45" s="409" t="b">
        <f t="shared" ref="P45:P52" si="23">IF(E45&lt;&gt;0,IF(G45="Select Reason",NOT(ISBLANK(G45)),ISBLANK(G45)))</f>
        <v>0</v>
      </c>
      <c r="Q45" s="482" t="b">
        <f t="shared" ref="Q45:Q52" si="24">IF(E45=0,IF(G45="Select Reason",ISBLANK(G45),NOT(ISBLANK(G45))))</f>
        <v>0</v>
      </c>
      <c r="R45" s="483" t="b">
        <f t="shared" ref="R45:R52" si="25">IF(E45=0,ISBLANK(H45),NOT(ISBLANK(H45)))</f>
        <v>1</v>
      </c>
      <c r="S45" s="375"/>
    </row>
    <row r="46" spans="1:19" ht="39.950000000000003" customHeight="1" x14ac:dyDescent="0.2">
      <c r="A46" s="565"/>
      <c r="B46" s="485" t="s">
        <v>362</v>
      </c>
      <c r="C46" s="385" t="str">
        <f>VLOOKUP(B46,Notes!$E$59:$F$68,2,FALSE)</f>
        <v>OSC Use only</v>
      </c>
      <c r="D46" s="486"/>
      <c r="E46" s="487"/>
      <c r="F46" s="434">
        <f>+D46+E46</f>
        <v>0</v>
      </c>
      <c r="G46" s="385" t="s">
        <v>354</v>
      </c>
      <c r="H46" s="484"/>
      <c r="I46" s="309"/>
      <c r="J46" s="288">
        <f t="shared" si="19"/>
        <v>0</v>
      </c>
      <c r="K46" s="386" t="b">
        <f t="shared" si="20"/>
        <v>1</v>
      </c>
      <c r="L46" s="386" t="b">
        <f t="shared" si="20"/>
        <v>1</v>
      </c>
      <c r="M46" s="386"/>
      <c r="N46" s="480" t="b">
        <f t="shared" si="21"/>
        <v>0</v>
      </c>
      <c r="O46" s="481" t="b">
        <f t="shared" si="22"/>
        <v>0</v>
      </c>
      <c r="P46" s="409" t="b">
        <f t="shared" si="23"/>
        <v>0</v>
      </c>
      <c r="Q46" s="482" t="b">
        <f t="shared" si="24"/>
        <v>0</v>
      </c>
      <c r="R46" s="483" t="b">
        <f t="shared" si="25"/>
        <v>1</v>
      </c>
      <c r="S46" s="375"/>
    </row>
    <row r="47" spans="1:19" ht="39.950000000000003" customHeight="1" x14ac:dyDescent="0.2">
      <c r="A47" s="565"/>
      <c r="B47" s="485" t="s">
        <v>362</v>
      </c>
      <c r="C47" s="385" t="str">
        <f>VLOOKUP(B47,Notes!$E$59:$F$68,2,FALSE)</f>
        <v>OSC Use only</v>
      </c>
      <c r="D47" s="486"/>
      <c r="E47" s="487"/>
      <c r="F47" s="434">
        <f>+D47+E47</f>
        <v>0</v>
      </c>
      <c r="G47" s="385" t="s">
        <v>354</v>
      </c>
      <c r="H47" s="484"/>
      <c r="I47" s="309"/>
      <c r="J47" s="288">
        <f t="shared" si="19"/>
        <v>0</v>
      </c>
      <c r="K47" s="386" t="b">
        <f t="shared" si="20"/>
        <v>1</v>
      </c>
      <c r="L47" s="386" t="b">
        <f t="shared" si="20"/>
        <v>1</v>
      </c>
      <c r="M47" s="386"/>
      <c r="N47" s="480" t="b">
        <f t="shared" si="21"/>
        <v>0</v>
      </c>
      <c r="O47" s="481" t="b">
        <f t="shared" si="22"/>
        <v>0</v>
      </c>
      <c r="P47" s="409" t="b">
        <f t="shared" si="23"/>
        <v>0</v>
      </c>
      <c r="Q47" s="482" t="b">
        <f t="shared" si="24"/>
        <v>0</v>
      </c>
      <c r="R47" s="483" t="b">
        <f t="shared" si="25"/>
        <v>1</v>
      </c>
      <c r="S47" s="375"/>
    </row>
    <row r="48" spans="1:19" ht="39.950000000000003" customHeight="1" x14ac:dyDescent="0.2">
      <c r="A48" s="565"/>
      <c r="B48" s="485" t="s">
        <v>362</v>
      </c>
      <c r="C48" s="385" t="str">
        <f>VLOOKUP(B48,Notes!$E$59:$F$68,2,FALSE)</f>
        <v>OSC Use only</v>
      </c>
      <c r="D48" s="486"/>
      <c r="E48" s="487"/>
      <c r="F48" s="434">
        <f t="shared" ref="F48:F51" si="26">+D48+E48</f>
        <v>0</v>
      </c>
      <c r="G48" s="385" t="s">
        <v>354</v>
      </c>
      <c r="H48" s="484"/>
      <c r="I48" s="309"/>
      <c r="J48" s="288">
        <f t="shared" si="19"/>
        <v>0</v>
      </c>
      <c r="K48" s="386" t="b">
        <f t="shared" si="20"/>
        <v>1</v>
      </c>
      <c r="L48" s="386" t="b">
        <f t="shared" si="20"/>
        <v>1</v>
      </c>
      <c r="M48" s="386"/>
      <c r="N48" s="480" t="b">
        <f t="shared" si="21"/>
        <v>0</v>
      </c>
      <c r="O48" s="481" t="b">
        <f t="shared" si="22"/>
        <v>0</v>
      </c>
      <c r="P48" s="409" t="b">
        <f t="shared" si="23"/>
        <v>0</v>
      </c>
      <c r="Q48" s="482" t="b">
        <f t="shared" si="24"/>
        <v>0</v>
      </c>
      <c r="R48" s="483" t="b">
        <f t="shared" si="25"/>
        <v>1</v>
      </c>
      <c r="S48" s="375"/>
    </row>
    <row r="49" spans="1:19" ht="39.950000000000003" customHeight="1" x14ac:dyDescent="0.2">
      <c r="A49" s="565"/>
      <c r="B49" s="485" t="s">
        <v>362</v>
      </c>
      <c r="C49" s="385" t="str">
        <f>VLOOKUP(B49,Notes!$E$59:$F$68,2,FALSE)</f>
        <v>OSC Use only</v>
      </c>
      <c r="D49" s="486"/>
      <c r="E49" s="487"/>
      <c r="F49" s="434">
        <f t="shared" si="26"/>
        <v>0</v>
      </c>
      <c r="G49" s="385" t="s">
        <v>354</v>
      </c>
      <c r="H49" s="484"/>
      <c r="I49" s="309"/>
      <c r="J49" s="288">
        <f t="shared" si="19"/>
        <v>0</v>
      </c>
      <c r="K49" s="386" t="b">
        <f t="shared" si="20"/>
        <v>1</v>
      </c>
      <c r="L49" s="386" t="b">
        <f t="shared" si="20"/>
        <v>1</v>
      </c>
      <c r="M49" s="386"/>
      <c r="N49" s="480" t="b">
        <f t="shared" si="21"/>
        <v>0</v>
      </c>
      <c r="O49" s="481" t="b">
        <f t="shared" si="22"/>
        <v>0</v>
      </c>
      <c r="P49" s="409" t="b">
        <f t="shared" si="23"/>
        <v>0</v>
      </c>
      <c r="Q49" s="482" t="b">
        <f t="shared" si="24"/>
        <v>0</v>
      </c>
      <c r="R49" s="483" t="b">
        <f t="shared" si="25"/>
        <v>1</v>
      </c>
      <c r="S49" s="375"/>
    </row>
    <row r="50" spans="1:19" ht="39.950000000000003" customHeight="1" x14ac:dyDescent="0.2">
      <c r="A50" s="565"/>
      <c r="B50" s="485" t="s">
        <v>362</v>
      </c>
      <c r="C50" s="385" t="str">
        <f>VLOOKUP(B50,Notes!$E$59:$F$68,2,FALSE)</f>
        <v>OSC Use only</v>
      </c>
      <c r="D50" s="486"/>
      <c r="E50" s="487"/>
      <c r="F50" s="434">
        <f t="shared" si="26"/>
        <v>0</v>
      </c>
      <c r="G50" s="385" t="s">
        <v>354</v>
      </c>
      <c r="H50" s="484"/>
      <c r="I50" s="309"/>
      <c r="J50" s="288">
        <f t="shared" si="19"/>
        <v>0</v>
      </c>
      <c r="K50" s="386" t="b">
        <f t="shared" si="20"/>
        <v>1</v>
      </c>
      <c r="L50" s="386" t="b">
        <f t="shared" si="20"/>
        <v>1</v>
      </c>
      <c r="M50" s="386"/>
      <c r="N50" s="480" t="b">
        <f t="shared" si="21"/>
        <v>0</v>
      </c>
      <c r="O50" s="481" t="b">
        <f t="shared" si="22"/>
        <v>0</v>
      </c>
      <c r="P50" s="409" t="b">
        <f t="shared" si="23"/>
        <v>0</v>
      </c>
      <c r="Q50" s="482" t="b">
        <f t="shared" si="24"/>
        <v>0</v>
      </c>
      <c r="R50" s="483" t="b">
        <f t="shared" si="25"/>
        <v>1</v>
      </c>
      <c r="S50" s="375"/>
    </row>
    <row r="51" spans="1:19" ht="39.950000000000003" customHeight="1" x14ac:dyDescent="0.2">
      <c r="A51" s="565"/>
      <c r="B51" s="485" t="s">
        <v>362</v>
      </c>
      <c r="C51" s="385" t="str">
        <f>VLOOKUP(B51,Notes!$E$59:$F$68,2,FALSE)</f>
        <v>OSC Use only</v>
      </c>
      <c r="D51" s="486"/>
      <c r="E51" s="487"/>
      <c r="F51" s="434">
        <f t="shared" si="26"/>
        <v>0</v>
      </c>
      <c r="G51" s="385" t="s">
        <v>354</v>
      </c>
      <c r="H51" s="484"/>
      <c r="I51" s="309"/>
      <c r="J51" s="288">
        <f t="shared" si="19"/>
        <v>0</v>
      </c>
      <c r="K51" s="386" t="b">
        <f t="shared" si="20"/>
        <v>1</v>
      </c>
      <c r="L51" s="386" t="b">
        <f t="shared" si="20"/>
        <v>1</v>
      </c>
      <c r="M51" s="386"/>
      <c r="N51" s="480" t="b">
        <f t="shared" si="21"/>
        <v>0</v>
      </c>
      <c r="O51" s="481" t="b">
        <f t="shared" si="22"/>
        <v>0</v>
      </c>
      <c r="P51" s="409" t="b">
        <f t="shared" si="23"/>
        <v>0</v>
      </c>
      <c r="Q51" s="482" t="b">
        <f t="shared" si="24"/>
        <v>0</v>
      </c>
      <c r="R51" s="483" t="b">
        <f t="shared" si="25"/>
        <v>1</v>
      </c>
      <c r="S51" s="375"/>
    </row>
    <row r="52" spans="1:19" ht="39.950000000000003" customHeight="1" x14ac:dyDescent="0.2">
      <c r="A52" s="565"/>
      <c r="B52" s="485" t="s">
        <v>362</v>
      </c>
      <c r="C52" s="385" t="str">
        <f>VLOOKUP(B52,Notes!$E$59:$F$68,2,FALSE)</f>
        <v>OSC Use only</v>
      </c>
      <c r="D52" s="486"/>
      <c r="E52" s="487"/>
      <c r="F52" s="434">
        <f>+D52+E52</f>
        <v>0</v>
      </c>
      <c r="G52" s="385" t="s">
        <v>354</v>
      </c>
      <c r="H52" s="484"/>
      <c r="I52" s="309"/>
      <c r="J52" s="288">
        <f t="shared" si="19"/>
        <v>0</v>
      </c>
      <c r="K52" s="386" t="b">
        <f t="shared" si="20"/>
        <v>1</v>
      </c>
      <c r="L52" s="386" t="b">
        <f t="shared" si="20"/>
        <v>1</v>
      </c>
      <c r="M52" s="386"/>
      <c r="N52" s="480" t="b">
        <f t="shared" si="21"/>
        <v>0</v>
      </c>
      <c r="O52" s="481" t="b">
        <f t="shared" si="22"/>
        <v>0</v>
      </c>
      <c r="P52" s="409" t="b">
        <f t="shared" si="23"/>
        <v>0</v>
      </c>
      <c r="Q52" s="482" t="b">
        <f t="shared" si="24"/>
        <v>0</v>
      </c>
      <c r="R52" s="483" t="b">
        <f t="shared" si="25"/>
        <v>1</v>
      </c>
      <c r="S52" s="375"/>
    </row>
    <row r="53" spans="1:19" ht="12.75" x14ac:dyDescent="0.2">
      <c r="B53" s="321" t="s">
        <v>315</v>
      </c>
      <c r="C53" s="348" t="s">
        <v>369</v>
      </c>
      <c r="D53" s="349"/>
      <c r="E53" s="349"/>
      <c r="F53" s="349"/>
      <c r="G53" s="325"/>
      <c r="H53" s="322"/>
      <c r="I53" s="361"/>
      <c r="N53" s="480"/>
      <c r="O53" s="480"/>
      <c r="P53" s="482"/>
      <c r="Q53" s="482"/>
      <c r="R53" s="483"/>
      <c r="S53" s="375"/>
    </row>
    <row r="54" spans="1:19" ht="39.950000000000003" customHeight="1" x14ac:dyDescent="0.2">
      <c r="A54" s="565" t="s">
        <v>370</v>
      </c>
      <c r="B54" s="490" t="s">
        <v>362</v>
      </c>
      <c r="C54" s="385" t="str">
        <f>VLOOKUP(B54,Notes!$E$74:$F$78,2,FALSE)</f>
        <v>OSC Use only</v>
      </c>
      <c r="D54" s="486"/>
      <c r="E54" s="487"/>
      <c r="F54" s="434">
        <f>+D54+E54</f>
        <v>0</v>
      </c>
      <c r="G54" s="385" t="s">
        <v>354</v>
      </c>
      <c r="H54" s="479"/>
      <c r="I54" s="309"/>
      <c r="J54" s="288">
        <f t="shared" ref="J54:J61" si="27">COUNTIF(K54:L54,FALSE)</f>
        <v>0</v>
      </c>
      <c r="K54" s="386" t="b">
        <f t="shared" ref="K54:L61" si="28">ISBLANK(D54)</f>
        <v>1</v>
      </c>
      <c r="L54" s="386" t="b">
        <f t="shared" si="28"/>
        <v>1</v>
      </c>
      <c r="M54" s="386"/>
      <c r="N54" s="480" t="b">
        <f t="shared" ref="N54:N61" si="29">IF(E54&lt;&gt;0,IF(B54="Select an account",NOT(ISBLANK(B54)),ISBLANK(B54)))</f>
        <v>0</v>
      </c>
      <c r="O54" s="481" t="b">
        <f t="shared" ref="O54:O61" si="30">IF(E54=0,IF(B54="Select an account",ISBLANK(B54),NOT(ISBLANK(B54))))</f>
        <v>0</v>
      </c>
      <c r="P54" s="409" t="b">
        <f t="shared" ref="P54:P61" si="31">IF(E54&lt;&gt;0,IF(G54="Select Reason",NOT(ISBLANK(G54)),ISBLANK(G54)))</f>
        <v>0</v>
      </c>
      <c r="Q54" s="482" t="b">
        <f t="shared" ref="Q54:Q61" si="32">IF(E54=0,IF(G54="Select Reason",ISBLANK(G54),NOT(ISBLANK(G54))))</f>
        <v>0</v>
      </c>
      <c r="R54" s="483" t="b">
        <f t="shared" ref="R54:R61" si="33">IF(E54=0,ISBLANK(H54),NOT(ISBLANK(H54)))</f>
        <v>1</v>
      </c>
      <c r="S54" s="375"/>
    </row>
    <row r="55" spans="1:19" ht="39.950000000000003" customHeight="1" x14ac:dyDescent="0.2">
      <c r="A55" s="565"/>
      <c r="B55" s="490" t="s">
        <v>362</v>
      </c>
      <c r="C55" s="385" t="str">
        <f>VLOOKUP(B55,Notes!$E$74:$F$78,2,FALSE)</f>
        <v>OSC Use only</v>
      </c>
      <c r="D55" s="486"/>
      <c r="E55" s="487"/>
      <c r="F55" s="434">
        <f>+D55+E55</f>
        <v>0</v>
      </c>
      <c r="G55" s="385" t="s">
        <v>354</v>
      </c>
      <c r="H55" s="479"/>
      <c r="I55" s="309"/>
      <c r="J55" s="288">
        <f t="shared" si="27"/>
        <v>0</v>
      </c>
      <c r="K55" s="386" t="b">
        <f t="shared" si="28"/>
        <v>1</v>
      </c>
      <c r="L55" s="386" t="b">
        <f t="shared" si="28"/>
        <v>1</v>
      </c>
      <c r="M55" s="386"/>
      <c r="N55" s="480" t="b">
        <f t="shared" si="29"/>
        <v>0</v>
      </c>
      <c r="O55" s="481" t="b">
        <f t="shared" si="30"/>
        <v>0</v>
      </c>
      <c r="P55" s="409" t="b">
        <f t="shared" si="31"/>
        <v>0</v>
      </c>
      <c r="Q55" s="482" t="b">
        <f t="shared" si="32"/>
        <v>0</v>
      </c>
      <c r="R55" s="483" t="b">
        <f t="shared" si="33"/>
        <v>1</v>
      </c>
      <c r="S55" s="375"/>
    </row>
    <row r="56" spans="1:19" ht="39.950000000000003" customHeight="1" x14ac:dyDescent="0.2">
      <c r="A56" s="565"/>
      <c r="B56" s="490" t="s">
        <v>362</v>
      </c>
      <c r="C56" s="406" t="str">
        <f>VLOOKUP(B56,Notes!$E$74:$F$78,2,FALSE)</f>
        <v>OSC Use only</v>
      </c>
      <c r="D56" s="491"/>
      <c r="E56" s="488"/>
      <c r="F56" s="437">
        <f>+D56+E56</f>
        <v>0</v>
      </c>
      <c r="G56" s="385" t="s">
        <v>354</v>
      </c>
      <c r="H56" s="479"/>
      <c r="I56" s="309"/>
      <c r="J56" s="288">
        <f t="shared" si="27"/>
        <v>0</v>
      </c>
      <c r="K56" s="386" t="b">
        <f t="shared" si="28"/>
        <v>1</v>
      </c>
      <c r="L56" s="386" t="b">
        <f t="shared" si="28"/>
        <v>1</v>
      </c>
      <c r="M56" s="386"/>
      <c r="N56" s="480" t="b">
        <f t="shared" si="29"/>
        <v>0</v>
      </c>
      <c r="O56" s="481" t="b">
        <f t="shared" si="30"/>
        <v>0</v>
      </c>
      <c r="P56" s="409" t="b">
        <f t="shared" si="31"/>
        <v>0</v>
      </c>
      <c r="Q56" s="482" t="b">
        <f t="shared" si="32"/>
        <v>0</v>
      </c>
      <c r="R56" s="483" t="b">
        <f t="shared" si="33"/>
        <v>1</v>
      </c>
      <c r="S56" s="375"/>
    </row>
    <row r="57" spans="1:19" ht="39.950000000000003" customHeight="1" x14ac:dyDescent="0.2">
      <c r="A57" s="565"/>
      <c r="B57" s="490" t="s">
        <v>362</v>
      </c>
      <c r="C57" s="406" t="str">
        <f>VLOOKUP(B57,Notes!$E$74:$F$78,2,FALSE)</f>
        <v>OSC Use only</v>
      </c>
      <c r="D57" s="486"/>
      <c r="E57" s="487"/>
      <c r="F57" s="437">
        <f t="shared" ref="F57:F61" si="34">+D57+E57</f>
        <v>0</v>
      </c>
      <c r="G57" s="385" t="s">
        <v>354</v>
      </c>
      <c r="H57" s="479"/>
      <c r="I57" s="309"/>
      <c r="J57" s="288">
        <f t="shared" si="27"/>
        <v>0</v>
      </c>
      <c r="K57" s="386" t="b">
        <f t="shared" si="28"/>
        <v>1</v>
      </c>
      <c r="L57" s="386" t="b">
        <f t="shared" si="28"/>
        <v>1</v>
      </c>
      <c r="M57" s="386"/>
      <c r="N57" s="480" t="b">
        <f t="shared" si="29"/>
        <v>0</v>
      </c>
      <c r="O57" s="481" t="b">
        <f t="shared" si="30"/>
        <v>0</v>
      </c>
      <c r="P57" s="409" t="b">
        <f t="shared" si="31"/>
        <v>0</v>
      </c>
      <c r="Q57" s="482" t="b">
        <f t="shared" si="32"/>
        <v>0</v>
      </c>
      <c r="R57" s="483" t="b">
        <f t="shared" si="33"/>
        <v>1</v>
      </c>
      <c r="S57" s="375"/>
    </row>
    <row r="58" spans="1:19" ht="39.950000000000003" customHeight="1" x14ac:dyDescent="0.2">
      <c r="A58" s="565"/>
      <c r="B58" s="490" t="s">
        <v>362</v>
      </c>
      <c r="C58" s="406" t="str">
        <f>VLOOKUP(B58,Notes!$E$74:$F$78,2,FALSE)</f>
        <v>OSC Use only</v>
      </c>
      <c r="D58" s="486"/>
      <c r="E58" s="487"/>
      <c r="F58" s="437">
        <f t="shared" si="34"/>
        <v>0</v>
      </c>
      <c r="G58" s="385" t="s">
        <v>354</v>
      </c>
      <c r="H58" s="479"/>
      <c r="I58" s="309"/>
      <c r="J58" s="288">
        <f t="shared" si="27"/>
        <v>0</v>
      </c>
      <c r="K58" s="386" t="b">
        <f t="shared" si="28"/>
        <v>1</v>
      </c>
      <c r="L58" s="386" t="b">
        <f t="shared" si="28"/>
        <v>1</v>
      </c>
      <c r="M58" s="386"/>
      <c r="N58" s="480" t="b">
        <f t="shared" si="29"/>
        <v>0</v>
      </c>
      <c r="O58" s="481" t="b">
        <f t="shared" si="30"/>
        <v>0</v>
      </c>
      <c r="P58" s="409" t="b">
        <f t="shared" si="31"/>
        <v>0</v>
      </c>
      <c r="Q58" s="482" t="b">
        <f t="shared" si="32"/>
        <v>0</v>
      </c>
      <c r="R58" s="483" t="b">
        <f t="shared" si="33"/>
        <v>1</v>
      </c>
      <c r="S58" s="375"/>
    </row>
    <row r="59" spans="1:19" ht="39.950000000000003" customHeight="1" x14ac:dyDescent="0.2">
      <c r="A59" s="565"/>
      <c r="B59" s="490" t="s">
        <v>362</v>
      </c>
      <c r="C59" s="406" t="str">
        <f>VLOOKUP(B59,Notes!$E$74:$F$78,2,FALSE)</f>
        <v>OSC Use only</v>
      </c>
      <c r="D59" s="491"/>
      <c r="E59" s="488"/>
      <c r="F59" s="437">
        <f t="shared" si="34"/>
        <v>0</v>
      </c>
      <c r="G59" s="385" t="s">
        <v>354</v>
      </c>
      <c r="H59" s="479"/>
      <c r="I59" s="309"/>
      <c r="J59" s="288">
        <f t="shared" si="27"/>
        <v>0</v>
      </c>
      <c r="K59" s="386" t="b">
        <f t="shared" si="28"/>
        <v>1</v>
      </c>
      <c r="L59" s="386" t="b">
        <f t="shared" si="28"/>
        <v>1</v>
      </c>
      <c r="M59" s="386"/>
      <c r="N59" s="480" t="b">
        <f t="shared" si="29"/>
        <v>0</v>
      </c>
      <c r="O59" s="481" t="b">
        <f t="shared" si="30"/>
        <v>0</v>
      </c>
      <c r="P59" s="409" t="b">
        <f t="shared" si="31"/>
        <v>0</v>
      </c>
      <c r="Q59" s="482" t="b">
        <f t="shared" si="32"/>
        <v>0</v>
      </c>
      <c r="R59" s="483" t="b">
        <f t="shared" si="33"/>
        <v>1</v>
      </c>
      <c r="S59" s="375"/>
    </row>
    <row r="60" spans="1:19" ht="39.950000000000003" customHeight="1" x14ac:dyDescent="0.2">
      <c r="A60" s="565"/>
      <c r="B60" s="490" t="s">
        <v>362</v>
      </c>
      <c r="C60" s="406" t="str">
        <f>VLOOKUP(B60,Notes!$E$74:$F$78,2,FALSE)</f>
        <v>OSC Use only</v>
      </c>
      <c r="D60" s="491"/>
      <c r="E60" s="488"/>
      <c r="F60" s="437">
        <f t="shared" si="34"/>
        <v>0</v>
      </c>
      <c r="G60" s="385" t="s">
        <v>354</v>
      </c>
      <c r="H60" s="479"/>
      <c r="I60" s="309"/>
      <c r="J60" s="288">
        <f t="shared" si="27"/>
        <v>0</v>
      </c>
      <c r="K60" s="386" t="b">
        <f t="shared" si="28"/>
        <v>1</v>
      </c>
      <c r="L60" s="386" t="b">
        <f t="shared" si="28"/>
        <v>1</v>
      </c>
      <c r="M60" s="386"/>
      <c r="N60" s="480" t="b">
        <f t="shared" si="29"/>
        <v>0</v>
      </c>
      <c r="O60" s="481" t="b">
        <f t="shared" si="30"/>
        <v>0</v>
      </c>
      <c r="P60" s="409" t="b">
        <f t="shared" si="31"/>
        <v>0</v>
      </c>
      <c r="Q60" s="482" t="b">
        <f t="shared" si="32"/>
        <v>0</v>
      </c>
      <c r="R60" s="483" t="b">
        <f t="shared" si="33"/>
        <v>1</v>
      </c>
      <c r="S60" s="375"/>
    </row>
    <row r="61" spans="1:19" ht="39.950000000000003" customHeight="1" x14ac:dyDescent="0.2">
      <c r="A61" s="565"/>
      <c r="B61" s="490" t="s">
        <v>362</v>
      </c>
      <c r="C61" s="406" t="str">
        <f>VLOOKUP(B61,Notes!$E$74:$F$78,2,FALSE)</f>
        <v>OSC Use only</v>
      </c>
      <c r="D61" s="491"/>
      <c r="E61" s="488"/>
      <c r="F61" s="437">
        <f t="shared" si="34"/>
        <v>0</v>
      </c>
      <c r="G61" s="385" t="s">
        <v>354</v>
      </c>
      <c r="H61" s="479"/>
      <c r="I61" s="309"/>
      <c r="J61" s="288">
        <f t="shared" si="27"/>
        <v>0</v>
      </c>
      <c r="K61" s="386" t="b">
        <f t="shared" si="28"/>
        <v>1</v>
      </c>
      <c r="L61" s="386" t="b">
        <f t="shared" si="28"/>
        <v>1</v>
      </c>
      <c r="M61" s="386"/>
      <c r="N61" s="480" t="b">
        <f t="shared" si="29"/>
        <v>0</v>
      </c>
      <c r="O61" s="481" t="b">
        <f t="shared" si="30"/>
        <v>0</v>
      </c>
      <c r="P61" s="409" t="b">
        <f t="shared" si="31"/>
        <v>0</v>
      </c>
      <c r="Q61" s="482" t="b">
        <f t="shared" si="32"/>
        <v>0</v>
      </c>
      <c r="R61" s="483" t="b">
        <f t="shared" si="33"/>
        <v>1</v>
      </c>
      <c r="S61" s="375"/>
    </row>
    <row r="62" spans="1:19" ht="13.5" customHeight="1" x14ac:dyDescent="0.2">
      <c r="A62" s="361"/>
      <c r="B62" s="321" t="s">
        <v>371</v>
      </c>
      <c r="C62" s="348" t="s">
        <v>372</v>
      </c>
      <c r="D62" s="349"/>
      <c r="E62" s="321"/>
      <c r="F62" s="349"/>
      <c r="G62" s="325"/>
      <c r="H62" s="322"/>
      <c r="I62" s="309"/>
      <c r="K62" s="386"/>
      <c r="L62" s="386"/>
      <c r="M62" s="386"/>
      <c r="N62" s="480"/>
      <c r="O62" s="480"/>
      <c r="P62" s="409"/>
      <c r="Q62" s="409"/>
      <c r="R62" s="483"/>
      <c r="S62" s="375"/>
    </row>
    <row r="63" spans="1:19" ht="39.950000000000003" customHeight="1" thickBot="1" x14ac:dyDescent="0.25">
      <c r="A63" s="404" t="s">
        <v>373</v>
      </c>
      <c r="B63" s="319" t="s">
        <v>374</v>
      </c>
      <c r="C63" s="385" t="s">
        <v>374</v>
      </c>
      <c r="D63" s="486">
        <v>20000</v>
      </c>
      <c r="E63" s="487">
        <v>-1000</v>
      </c>
      <c r="F63" s="437">
        <f>+D63+E63</f>
        <v>19000</v>
      </c>
      <c r="G63" s="385" t="s">
        <v>762</v>
      </c>
      <c r="H63" s="479" t="s">
        <v>781</v>
      </c>
      <c r="I63" s="309"/>
      <c r="J63" s="288">
        <f t="shared" ref="J63" si="35">COUNTIF(K63:L63,FALSE)</f>
        <v>2</v>
      </c>
      <c r="K63" s="288" t="b">
        <f>ISBLANK(D63)</f>
        <v>0</v>
      </c>
      <c r="L63" s="288" t="b">
        <f>ISBLANK(E63)</f>
        <v>0</v>
      </c>
      <c r="M63" s="386"/>
      <c r="N63" s="492" t="str">
        <f>IF(E63&lt;&gt;0,"FALSE","TRUE")</f>
        <v>FALSE</v>
      </c>
      <c r="O63" s="492" t="str">
        <f>IF(E63=0,"FALSE","TRUE")</f>
        <v>TRUE</v>
      </c>
      <c r="P63" s="416" t="b">
        <f>IF(E63&lt;&gt;0,IF(G63="Select Reason",NOT(ISBLANK(G63)),ISBLANK(G63)))</f>
        <v>0</v>
      </c>
      <c r="Q63" s="493" t="b">
        <f>IF(E63=0,IF(G63="Select Reason",ISBLANK(G63),NOT(ISBLANK(G63))))</f>
        <v>0</v>
      </c>
      <c r="R63" s="483" t="b">
        <f>IF(E63=0,ISBLANK(H63),NOT(ISBLANK(H63)))</f>
        <v>1</v>
      </c>
      <c r="S63" s="375"/>
    </row>
    <row r="64" spans="1:19" ht="18.75" thickBot="1" x14ac:dyDescent="0.25">
      <c r="A64" s="361"/>
      <c r="B64" s="575" t="s">
        <v>375</v>
      </c>
      <c r="C64" s="575"/>
      <c r="D64" s="576"/>
      <c r="E64" s="489">
        <f>(SUM(E45:E52)+E63)-SUM(E54:E61)</f>
        <v>-1000</v>
      </c>
      <c r="F64" s="418" t="str">
        <f>IF(E64&lt;&gt;0,"Ensure Operating Statement Change Equals Balance Sheet Change.","")</f>
        <v>Ensure Operating Statement Change Equals Balance Sheet Change.</v>
      </c>
      <c r="G64" s="368"/>
      <c r="H64" s="417"/>
      <c r="I64" s="309"/>
      <c r="K64" s="386"/>
      <c r="L64" s="386"/>
      <c r="M64" s="386"/>
      <c r="N64" s="412"/>
      <c r="O64" s="412"/>
      <c r="P64" s="409"/>
      <c r="Q64" s="409"/>
      <c r="R64" s="483"/>
      <c r="S64" s="375"/>
    </row>
    <row r="65" spans="1:19" ht="16.5" thickBot="1" x14ac:dyDescent="0.25">
      <c r="B65" s="570" t="s">
        <v>376</v>
      </c>
      <c r="C65" s="571"/>
      <c r="D65" s="572"/>
      <c r="E65" s="403">
        <f>IF((E43-E64=0),F69,ABS(E43-E64))</f>
        <v>-1000</v>
      </c>
      <c r="F65" s="580"/>
      <c r="G65" s="581"/>
      <c r="H65" s="395"/>
      <c r="I65" s="361"/>
      <c r="N65" s="480"/>
      <c r="O65" s="480"/>
      <c r="P65" s="482"/>
      <c r="Q65" s="482"/>
      <c r="R65" s="483"/>
      <c r="S65" s="375"/>
    </row>
    <row r="66" spans="1:19" s="309" customFormat="1" ht="66" customHeight="1" thickBot="1" x14ac:dyDescent="0.25">
      <c r="A66" s="400" t="s">
        <v>358</v>
      </c>
      <c r="B66" s="399" t="str">
        <f>IF(C17=0,"OK",IF(O67=0,"OK","Choose or Remove 'select an account'"))</f>
        <v>OK</v>
      </c>
      <c r="C66" s="315"/>
      <c r="D66" s="396" t="str">
        <f>IF(C17=0,"OK",IF(SUM(D19:D22)&lt;&gt;0,IF(L67=1,"ERROR - Check the beginning balance of row B, C, D, E or F","OK")))</f>
        <v>OK</v>
      </c>
      <c r="E66" s="397" t="str">
        <f>IF(C17=0,"OK",IF(E68="OK","OK", "ERROR - Check sign or amount at row B, C, D, E or F for Balance Sheet Change or Operating Statement Change"))</f>
        <v>OK</v>
      </c>
      <c r="F66" s="315"/>
      <c r="G66" s="397" t="str">
        <f>IF(Q67=0,"OK","Select a restatement reason at an appropriate line, or Remove a restatement reason at the incorrect line.")</f>
        <v>OK</v>
      </c>
      <c r="H66" s="397" t="str">
        <f>IF(R66=0,"OK","Provide or Remove explanation at column I")</f>
        <v>OK</v>
      </c>
      <c r="K66" s="387">
        <f>COUNTIF(K19:K63,FALSE)</f>
        <v>3</v>
      </c>
      <c r="L66" s="387">
        <f>COUNTIF(L19:L63,FALSE)</f>
        <v>3</v>
      </c>
      <c r="M66" s="387"/>
      <c r="N66" s="413">
        <f t="shared" ref="N66:Q66" si="36">COUNTIF(N19:N63,TRUE)</f>
        <v>0</v>
      </c>
      <c r="O66" s="413">
        <f t="shared" si="36"/>
        <v>0</v>
      </c>
      <c r="P66" s="410">
        <f t="shared" si="36"/>
        <v>0</v>
      </c>
      <c r="Q66" s="410">
        <f t="shared" si="36"/>
        <v>0</v>
      </c>
      <c r="R66" s="411">
        <f>COUNTIF(R19:R63,FALSE)</f>
        <v>0</v>
      </c>
      <c r="S66" s="375"/>
    </row>
    <row r="67" spans="1:19" ht="60" customHeight="1" thickBot="1" x14ac:dyDescent="0.25">
      <c r="A67" s="400" t="s">
        <v>358</v>
      </c>
      <c r="B67" s="401" t="s">
        <v>377</v>
      </c>
      <c r="E67" s="397" t="str">
        <f>IF(F69=C17,"OK","ERROR - check restatement amount. The difference is "&amp;TEXT(E69,"$0,000.00."))</f>
        <v>OK</v>
      </c>
      <c r="L67" s="288">
        <f>IF(L66-K66=0,0,1)</f>
        <v>0</v>
      </c>
      <c r="N67" s="480"/>
      <c r="O67" s="480">
        <f>IF(O66-N66=0,0,1)</f>
        <v>0</v>
      </c>
      <c r="P67" s="482"/>
      <c r="Q67" s="482">
        <f>IF(Q66-P66=0,0,1)</f>
        <v>0</v>
      </c>
      <c r="R67" s="288"/>
      <c r="S67" s="375"/>
    </row>
    <row r="68" spans="1:19" ht="22.9" hidden="1" customHeight="1" x14ac:dyDescent="0.2">
      <c r="B68" s="314" t="s">
        <v>378</v>
      </c>
      <c r="C68" s="324"/>
      <c r="D68" s="324"/>
      <c r="E68" s="415" t="str">
        <f>IF(C17&lt;&gt;0,IF(C17=F69,"OK","ERROR"))</f>
        <v>OK</v>
      </c>
      <c r="F68" s="414"/>
      <c r="G68" s="324"/>
      <c r="R68" s="375"/>
      <c r="S68" s="375"/>
    </row>
    <row r="69" spans="1:19" ht="22.9" hidden="1" customHeight="1" x14ac:dyDescent="0.2">
      <c r="B69" s="388" t="s">
        <v>379</v>
      </c>
      <c r="C69" s="494"/>
      <c r="E69" s="494">
        <f>IF(C17&lt;&gt;0,E43-E64,"ERROR")</f>
        <v>0</v>
      </c>
      <c r="F69" s="494">
        <f>IF(E69=0,E64,0)</f>
        <v>-1000</v>
      </c>
      <c r="R69" s="375"/>
      <c r="S69" s="375"/>
    </row>
    <row r="70" spans="1:19" ht="13.5" customHeight="1" x14ac:dyDescent="0.2">
      <c r="R70" s="375"/>
      <c r="S70" s="375"/>
    </row>
    <row r="71" spans="1:19" ht="12.75" x14ac:dyDescent="0.2">
      <c r="R71" s="375"/>
      <c r="S71" s="375"/>
    </row>
    <row r="72" spans="1:19" ht="12.75" x14ac:dyDescent="0.2">
      <c r="R72" s="375"/>
      <c r="S72" s="375"/>
    </row>
    <row r="73" spans="1:19" ht="12.75" x14ac:dyDescent="0.2">
      <c r="R73" s="375"/>
      <c r="S73" s="375"/>
    </row>
    <row r="74" spans="1:19" ht="12.75" x14ac:dyDescent="0.2">
      <c r="R74" s="375"/>
      <c r="S74" s="375"/>
    </row>
    <row r="75" spans="1:19" ht="12.75" x14ac:dyDescent="0.2">
      <c r="R75" s="375"/>
      <c r="S75" s="375"/>
    </row>
    <row r="76" spans="1:19" ht="12.75" x14ac:dyDescent="0.2">
      <c r="R76" s="375"/>
      <c r="S76" s="375"/>
    </row>
    <row r="77" spans="1:19" ht="12.75" x14ac:dyDescent="0.2">
      <c r="R77" s="375"/>
      <c r="S77" s="375"/>
    </row>
    <row r="78" spans="1:19" ht="12.75" x14ac:dyDescent="0.2">
      <c r="R78" s="375"/>
      <c r="S78" s="375"/>
    </row>
    <row r="79" spans="1:19" ht="12.75" x14ac:dyDescent="0.2">
      <c r="R79" s="375"/>
      <c r="S79" s="375"/>
    </row>
    <row r="80" spans="1:19" ht="12.75" x14ac:dyDescent="0.2">
      <c r="R80" s="375"/>
      <c r="S80" s="375"/>
    </row>
    <row r="81" spans="18:19" ht="12.75" x14ac:dyDescent="0.2">
      <c r="R81" s="375"/>
      <c r="S81" s="375"/>
    </row>
    <row r="82" spans="18:19" ht="12.75" x14ac:dyDescent="0.2">
      <c r="R82" s="375"/>
      <c r="S82" s="375"/>
    </row>
    <row r="83" spans="18:19" ht="12.75" x14ac:dyDescent="0.2">
      <c r="R83" s="375"/>
      <c r="S83" s="375"/>
    </row>
    <row r="84" spans="18:19" ht="12.75" x14ac:dyDescent="0.2">
      <c r="R84" s="375"/>
      <c r="S84" s="375"/>
    </row>
    <row r="85" spans="18:19" ht="12.75" x14ac:dyDescent="0.2">
      <c r="R85" s="375"/>
      <c r="S85" s="375"/>
    </row>
    <row r="86" spans="18:19" ht="12.75" x14ac:dyDescent="0.2">
      <c r="R86" s="375"/>
      <c r="S86" s="375"/>
    </row>
    <row r="87" spans="18:19" ht="12.75" x14ac:dyDescent="0.2">
      <c r="R87" s="375"/>
      <c r="S87" s="375"/>
    </row>
    <row r="88" spans="18:19" ht="12.75" x14ac:dyDescent="0.2">
      <c r="R88" s="375"/>
      <c r="S88" s="375"/>
    </row>
    <row r="89" spans="18:19" ht="12.75" x14ac:dyDescent="0.2">
      <c r="R89" s="375"/>
      <c r="S89" s="375"/>
    </row>
    <row r="90" spans="18:19" ht="12.75" x14ac:dyDescent="0.2">
      <c r="R90" s="375"/>
      <c r="S90" s="375"/>
    </row>
    <row r="91" spans="18:19" ht="12.75" x14ac:dyDescent="0.2">
      <c r="R91" s="375"/>
      <c r="S91" s="375"/>
    </row>
    <row r="92" spans="18:19" ht="12.75" x14ac:dyDescent="0.2">
      <c r="R92" s="375"/>
      <c r="S92" s="375"/>
    </row>
    <row r="93" spans="18:19" ht="12.75" x14ac:dyDescent="0.2">
      <c r="R93" s="375"/>
      <c r="S93" s="375"/>
    </row>
    <row r="94" spans="18:19" ht="12.75" x14ac:dyDescent="0.2">
      <c r="R94" s="375"/>
      <c r="S94" s="375"/>
    </row>
    <row r="95" spans="18:19" ht="12.75" x14ac:dyDescent="0.2">
      <c r="R95" s="375"/>
      <c r="S95" s="375"/>
    </row>
    <row r="96" spans="18:19" ht="12.75" x14ac:dyDescent="0.2">
      <c r="R96" s="375"/>
      <c r="S96" s="375"/>
    </row>
    <row r="97" spans="18:19" ht="12.75" x14ac:dyDescent="0.2">
      <c r="R97" s="375"/>
      <c r="S97" s="375"/>
    </row>
    <row r="98" spans="18:19" ht="12.75" x14ac:dyDescent="0.2">
      <c r="R98" s="375"/>
      <c r="S98" s="375"/>
    </row>
    <row r="99" spans="18:19" ht="12.75" x14ac:dyDescent="0.2">
      <c r="R99" s="375"/>
      <c r="S99" s="375"/>
    </row>
    <row r="100" spans="18:19" ht="12.75" x14ac:dyDescent="0.2">
      <c r="R100" s="375"/>
      <c r="S100" s="375"/>
    </row>
    <row r="101" spans="18:19" ht="12.75" x14ac:dyDescent="0.2">
      <c r="R101" s="375"/>
      <c r="S101" s="375"/>
    </row>
    <row r="102" spans="18:19" ht="12.75" x14ac:dyDescent="0.2">
      <c r="R102" s="375"/>
      <c r="S102" s="375"/>
    </row>
    <row r="103" spans="18:19" ht="12.75" x14ac:dyDescent="0.2">
      <c r="R103" s="375"/>
      <c r="S103" s="375"/>
    </row>
    <row r="104" spans="18:19" ht="12.75" x14ac:dyDescent="0.2">
      <c r="R104" s="375"/>
      <c r="S104" s="375"/>
    </row>
    <row r="105" spans="18:19" ht="12.75" x14ac:dyDescent="0.2">
      <c r="R105" s="375"/>
      <c r="S105" s="375"/>
    </row>
    <row r="106" spans="18:19" ht="12.75" x14ac:dyDescent="0.2">
      <c r="R106" s="375"/>
      <c r="S106" s="375"/>
    </row>
    <row r="107" spans="18:19" ht="12.75" x14ac:dyDescent="0.2">
      <c r="R107" s="375"/>
      <c r="S107" s="375"/>
    </row>
    <row r="108" spans="18:19" ht="12.75" x14ac:dyDescent="0.2">
      <c r="R108" s="375"/>
      <c r="S108" s="375"/>
    </row>
    <row r="109" spans="18:19" ht="12.75" x14ac:dyDescent="0.2">
      <c r="R109" s="375"/>
      <c r="S109" s="375"/>
    </row>
    <row r="110" spans="18:19" ht="12.75" x14ac:dyDescent="0.2">
      <c r="R110" s="375"/>
      <c r="S110" s="375"/>
    </row>
    <row r="111" spans="18:19" ht="12.75" x14ac:dyDescent="0.2">
      <c r="R111" s="375"/>
      <c r="S111" s="375"/>
    </row>
    <row r="112" spans="18:19" ht="12.75" x14ac:dyDescent="0.2">
      <c r="R112" s="375"/>
      <c r="S112" s="375"/>
    </row>
    <row r="113" spans="18:19" ht="12.75" x14ac:dyDescent="0.2">
      <c r="R113" s="375"/>
      <c r="S113" s="375"/>
    </row>
  </sheetData>
  <sheetProtection algorithmName="SHA-512" hashValue="aaERvkXBhN/PG3k1xEBZd6JvrzwANvxstkhi1nwBroVce8aG4y0sOGVKrtAGgvqmdVUXZwhTGhB2CtxH6MUADg==" saltValue="DoOoTbRDAC+NcnH2BxodqQ==" spinCount="100000" sheet="1" objects="1" scenarios="1"/>
  <mergeCells count="15">
    <mergeCell ref="B65:D65"/>
    <mergeCell ref="F65:G65"/>
    <mergeCell ref="B2:H2"/>
    <mergeCell ref="A26:A33"/>
    <mergeCell ref="A35:A42"/>
    <mergeCell ref="B43:D43"/>
    <mergeCell ref="A45:A52"/>
    <mergeCell ref="A54:A61"/>
    <mergeCell ref="B64:D64"/>
    <mergeCell ref="B5:G5"/>
    <mergeCell ref="B9:G9"/>
    <mergeCell ref="B18:F18"/>
    <mergeCell ref="A19:A22"/>
    <mergeCell ref="G24:G25"/>
    <mergeCell ref="H24:H25"/>
  </mergeCells>
  <conditionalFormatting sqref="B26:B33 B35:B42 B45:B52 B54:B61">
    <cfRule type="containsText" dxfId="8" priority="9" operator="containsText" text="5">
      <formula>NOT(ISERROR(SEARCH("5",B26)))</formula>
    </cfRule>
  </conditionalFormatting>
  <conditionalFormatting sqref="B35:B42 B54:B61 B26:B33 B45:B52">
    <cfRule type="containsText" dxfId="7" priority="4" operator="containsText" text="1">
      <formula>NOT(ISERROR(SEARCH("1",B26)))</formula>
    </cfRule>
  </conditionalFormatting>
  <conditionalFormatting sqref="B54:B61">
    <cfRule type="containsText" dxfId="5" priority="1" operator="containsText" text="6">
      <formula>NOT(ISERROR(SEARCH("6",B54)))</formula>
    </cfRule>
  </conditionalFormatting>
  <conditionalFormatting sqref="D19:F22">
    <cfRule type="cellIs" dxfId="4" priority="3" operator="notEqual">
      <formula>0</formula>
    </cfRule>
  </conditionalFormatting>
  <conditionalFormatting sqref="D26:F33 D35:F42 E43 G43:H43 D45:F52 D54:F61 D63:F63 E64 G64:H64">
    <cfRule type="cellIs" dxfId="3" priority="5" operator="notEqual">
      <formula>0</formula>
    </cfRule>
    <cfRule type="cellIs" dxfId="2" priority="6" operator="notEqual">
      <formula>0</formula>
    </cfRule>
    <cfRule type="cellIs" dxfId="1" priority="7" operator="notEqual">
      <formula>0</formula>
    </cfRule>
    <cfRule type="containsText" dxfId="0" priority="8" operator="containsText" text="&lt;&gt;&quot;&quot;">
      <formula>NOT(ISERROR(SEARCH("&lt;&gt;""""",D26)))</formula>
    </cfRule>
  </conditionalFormatting>
  <dataValidations count="2">
    <dataValidation allowBlank="1" showInputMessage="1" showErrorMessage="1" prompt="No Restatement - leave blank_x000a_Restatement - enter beginning balance or $0 if data is not available." sqref="D19:D22 D26:D33 D54:D61 D45:D52 D63 D35:D42" xr:uid="{312C4BAA-9F7B-46EF-82E9-C9D6F051A04C}"/>
    <dataValidation allowBlank="1" showInputMessage="1" showErrorMessage="1" prompt="Also complete Asset/Liabilties (row B/C) and Revenue/Expenses/Restatements (row D/E/F)." sqref="E19:E22" xr:uid="{7EF3E81C-3C8F-47A9-B597-69326EF08732}"/>
  </dataValidations>
  <hyperlinks>
    <hyperlink ref="F13" r:id="rId1" xr:uid="{47D37968-3318-48BF-88A8-7A994D094C5B}"/>
  </hyperlinks>
  <pageMargins left="0.7" right="0.7" top="0.75" bottom="0.75" header="0.3" footer="0.3"/>
  <legacy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8A9268D1-340E-4352-867D-2D189C143CE3}">
            <xm:f>NOT(ISERROR(SEARCH(2,B35)))</xm:f>
            <xm:f>2</xm:f>
            <x14:dxf>
              <font>
                <color theme="5" tint="-0.24994659260841701"/>
              </font>
              <fill>
                <patternFill>
                  <bgColor theme="5" tint="0.59996337778862885"/>
                </patternFill>
              </fill>
            </x14:dxf>
          </x14:cfRule>
          <xm:sqref>B35:B42</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prompt="ER = Error Correction (e.g. audit adjustment or prior year group asset adjustment)_x000a_O = Change in accounting principal " xr:uid="{C89CD565-2798-45D9-9599-DB875F1A3267}">
          <x14:formula1>
            <xm:f>Notes!$D$86:$D$99</xm:f>
          </x14:formula1>
          <xm:sqref>G63 G19:G22 G45:G52 G26:G33 G35:G42 G54:G61</xm:sqref>
        </x14:dataValidation>
        <x14:dataValidation type="list" allowBlank="1" showInputMessage="1" showErrorMessage="1" xr:uid="{65556D0F-749A-4C4B-BC7C-BCDF79616283}">
          <x14:formula1>
            <xm:f>Notes!$D$86:$D$99</xm:f>
          </x14:formula1>
          <xm:sqref>G64</xm:sqref>
        </x14:dataValidation>
        <x14:dataValidation type="list" allowBlank="1" showInputMessage="1" showErrorMessage="1" xr:uid="{CFD2494B-DBD0-4ACF-AB57-72CA16618823}">
          <x14:formula1>
            <xm:f>Notes!$E$59:$E$69</xm:f>
          </x14:formula1>
          <xm:sqref>B45:B52</xm:sqref>
        </x14:dataValidation>
        <x14:dataValidation type="list" allowBlank="1" showInputMessage="1" showErrorMessage="1" xr:uid="{6F41357B-935D-4E11-8A40-C72B70A67011}">
          <x14:formula1>
            <xm:f>Notes!$E$74:$E$79</xm:f>
          </x14:formula1>
          <xm:sqref>B54:B61</xm:sqref>
        </x14:dataValidation>
        <x14:dataValidation type="list" allowBlank="1" showInputMessage="1" showErrorMessage="1" xr:uid="{2CEF0E00-2224-4BBD-B745-CBF59A435A2C}">
          <x14:formula1>
            <xm:f>Notes!$E$3:$E$26</xm:f>
          </x14:formula1>
          <xm:sqref>B26:B33</xm:sqref>
        </x14:dataValidation>
        <x14:dataValidation type="list" allowBlank="1" showInputMessage="1" showErrorMessage="1" xr:uid="{785F7FDC-12E1-4B42-ABFB-E169EB81DCE0}">
          <x14:formula1>
            <xm:f>Notes!$E$29:$E$54</xm:f>
          </x14:formula1>
          <xm:sqref>B35:B42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A8A20-EE3A-4D51-BD2E-7BE0949D03CC}">
  <sheetPr codeName="Sheet14"/>
  <dimension ref="A1:H114"/>
  <sheetViews>
    <sheetView zoomScaleNormal="100" workbookViewId="0">
      <selection activeCell="C26" sqref="C26"/>
    </sheetView>
  </sheetViews>
  <sheetFormatPr defaultRowHeight="12.75" x14ac:dyDescent="0.2"/>
  <cols>
    <col min="1" max="1" width="71.28515625" customWidth="1"/>
    <col min="3" max="3" width="4.5703125" customWidth="1"/>
    <col min="4" max="4" width="30.42578125" customWidth="1"/>
    <col min="5" max="5" width="3.5703125" customWidth="1"/>
    <col min="6" max="6" width="22" customWidth="1"/>
    <col min="7" max="7" width="4" customWidth="1"/>
    <col min="8" max="8" width="83.5703125" customWidth="1"/>
  </cols>
  <sheetData>
    <row r="1" spans="1:8" x14ac:dyDescent="0.2">
      <c r="A1" s="1" t="str">
        <f>CONCATENATE(Info!D7," Foundations")</f>
        <v>UNC System Office Foundations</v>
      </c>
      <c r="C1" s="337"/>
      <c r="D1" s="534" t="s">
        <v>380</v>
      </c>
    </row>
    <row r="2" spans="1:8" x14ac:dyDescent="0.2">
      <c r="A2" s="1" t="s">
        <v>381</v>
      </c>
      <c r="C2" s="337"/>
      <c r="D2" s="151" t="str">
        <f>"The threshold for significant is defined as a change of 15% AND a dollar amount of $"&amp;'[1]Exh D'!K1/1000000&amp;" million or greater for discretely presented foundation, including unusal changes."</f>
        <v>The threshold for significant is defined as a change of 15% AND a dollar amount of $4 million or greater for discretely presented foundation, including unusal changes.</v>
      </c>
    </row>
    <row r="3" spans="1:8" x14ac:dyDescent="0.2">
      <c r="A3" s="150" t="s">
        <v>382</v>
      </c>
      <c r="C3" s="337"/>
      <c r="D3" s="534" t="s">
        <v>383</v>
      </c>
    </row>
    <row r="4" spans="1:8" x14ac:dyDescent="0.2">
      <c r="A4" s="289" t="s">
        <v>384</v>
      </c>
      <c r="C4" s="337"/>
      <c r="D4" s="535" t="s">
        <v>385</v>
      </c>
    </row>
    <row r="5" spans="1:8" x14ac:dyDescent="0.2">
      <c r="C5" s="337"/>
      <c r="D5" s="25" t="s">
        <v>386</v>
      </c>
    </row>
    <row r="6" spans="1:8" x14ac:dyDescent="0.2">
      <c r="C6" s="337"/>
      <c r="D6" s="448"/>
    </row>
    <row r="7" spans="1:8" x14ac:dyDescent="0.2">
      <c r="C7" s="337"/>
      <c r="D7" s="542" t="s">
        <v>792</v>
      </c>
      <c r="E7" s="543"/>
      <c r="F7" s="543"/>
      <c r="G7" s="543"/>
      <c r="H7" s="543"/>
    </row>
    <row r="8" spans="1:8" ht="12.75" customHeight="1" x14ac:dyDescent="0.2">
      <c r="A8" s="288"/>
      <c r="C8" s="337"/>
      <c r="D8" s="536" t="s">
        <v>387</v>
      </c>
      <c r="E8" s="537"/>
      <c r="F8" s="536" t="s">
        <v>388</v>
      </c>
      <c r="G8" s="537"/>
      <c r="H8" s="538" t="s">
        <v>389</v>
      </c>
    </row>
    <row r="9" spans="1:8" s="288" customFormat="1" ht="25.5" customHeight="1" x14ac:dyDescent="0.2">
      <c r="A9" s="425"/>
      <c r="C9" s="441"/>
      <c r="D9" s="442" t="s">
        <v>390</v>
      </c>
      <c r="F9" s="539">
        <v>20000000</v>
      </c>
      <c r="H9" s="442" t="s">
        <v>391</v>
      </c>
    </row>
    <row r="10" spans="1:8" x14ac:dyDescent="0.2">
      <c r="A10" s="73"/>
      <c r="C10" s="337"/>
      <c r="D10" s="442" t="s">
        <v>392</v>
      </c>
      <c r="F10" s="540">
        <v>2000000</v>
      </c>
      <c r="H10" s="141" t="s">
        <v>393</v>
      </c>
    </row>
    <row r="11" spans="1:8" x14ac:dyDescent="0.2">
      <c r="A11" s="73"/>
      <c r="C11" s="337"/>
      <c r="D11" s="443"/>
      <c r="E11" s="443"/>
      <c r="F11" s="444"/>
      <c r="G11" s="443"/>
      <c r="H11" s="443"/>
    </row>
    <row r="12" spans="1:8" x14ac:dyDescent="0.2">
      <c r="A12" s="73"/>
      <c r="C12" s="337"/>
      <c r="D12" s="73"/>
      <c r="E12" s="443"/>
      <c r="F12" s="444"/>
      <c r="G12" s="443"/>
      <c r="H12" s="443"/>
    </row>
    <row r="13" spans="1:8" x14ac:dyDescent="0.2">
      <c r="A13" s="73"/>
      <c r="C13" s="337"/>
      <c r="D13" s="73"/>
      <c r="E13" s="443"/>
      <c r="F13" s="444"/>
      <c r="G13" s="443"/>
      <c r="H13" s="443"/>
    </row>
    <row r="14" spans="1:8" x14ac:dyDescent="0.2">
      <c r="A14" s="73"/>
      <c r="C14" s="337"/>
      <c r="D14" s="73"/>
      <c r="E14" s="443"/>
      <c r="F14" s="444"/>
      <c r="G14" s="443"/>
      <c r="H14" s="443"/>
    </row>
    <row r="15" spans="1:8" x14ac:dyDescent="0.2">
      <c r="A15" s="73"/>
      <c r="C15" s="337"/>
      <c r="D15" s="73"/>
      <c r="E15" s="443"/>
      <c r="F15" s="444"/>
      <c r="G15" s="443"/>
      <c r="H15" s="443"/>
    </row>
    <row r="16" spans="1:8" x14ac:dyDescent="0.2">
      <c r="A16" s="73"/>
      <c r="C16" s="337"/>
      <c r="D16" s="73"/>
      <c r="E16" s="443"/>
      <c r="F16" s="444"/>
      <c r="G16" s="443"/>
      <c r="H16" s="443"/>
    </row>
    <row r="17" spans="1:8" x14ac:dyDescent="0.2">
      <c r="A17" s="73"/>
      <c r="C17" s="337"/>
      <c r="D17" s="73"/>
      <c r="E17" s="443"/>
      <c r="F17" s="444"/>
      <c r="G17" s="443"/>
      <c r="H17" s="443"/>
    </row>
    <row r="18" spans="1:8" x14ac:dyDescent="0.2">
      <c r="A18" s="73"/>
      <c r="C18" s="337"/>
      <c r="D18" s="73"/>
      <c r="E18" s="443"/>
      <c r="F18" s="444"/>
      <c r="G18" s="443"/>
      <c r="H18" s="443"/>
    </row>
    <row r="19" spans="1:8" x14ac:dyDescent="0.2">
      <c r="A19" s="73"/>
      <c r="C19" s="337"/>
      <c r="D19" s="73"/>
      <c r="E19" s="443"/>
      <c r="F19" s="444"/>
      <c r="G19" s="443"/>
      <c r="H19" s="443"/>
    </row>
    <row r="20" spans="1:8" x14ac:dyDescent="0.2">
      <c r="A20" s="73"/>
      <c r="C20" s="337"/>
      <c r="D20" s="73"/>
      <c r="E20" s="443"/>
      <c r="F20" s="444"/>
      <c r="G20" s="443"/>
      <c r="H20" s="443"/>
    </row>
    <row r="21" spans="1:8" x14ac:dyDescent="0.2">
      <c r="A21" s="73"/>
      <c r="C21" s="337"/>
      <c r="D21" s="73"/>
      <c r="E21" s="443"/>
      <c r="F21" s="444"/>
      <c r="G21" s="443"/>
      <c r="H21" s="443"/>
    </row>
    <row r="22" spans="1:8" x14ac:dyDescent="0.2">
      <c r="A22" s="73"/>
      <c r="C22" s="337"/>
      <c r="D22" s="73"/>
      <c r="E22" s="443"/>
      <c r="F22" s="444"/>
      <c r="G22" s="443"/>
      <c r="H22" s="443"/>
    </row>
    <row r="23" spans="1:8" x14ac:dyDescent="0.2">
      <c r="A23" s="73"/>
      <c r="C23" s="337"/>
      <c r="D23" s="73"/>
      <c r="E23" s="443"/>
      <c r="F23" s="444"/>
      <c r="G23" s="443"/>
      <c r="H23" s="443"/>
    </row>
    <row r="24" spans="1:8" x14ac:dyDescent="0.2">
      <c r="A24" s="73"/>
      <c r="C24" s="337"/>
      <c r="D24" s="73"/>
      <c r="E24" s="443"/>
      <c r="F24" s="444"/>
      <c r="G24" s="443"/>
      <c r="H24" s="443"/>
    </row>
    <row r="25" spans="1:8" x14ac:dyDescent="0.2">
      <c r="A25" s="73"/>
      <c r="C25" s="337"/>
      <c r="D25" s="73"/>
      <c r="E25" s="443"/>
      <c r="F25" s="444"/>
      <c r="G25" s="443"/>
      <c r="H25" s="443"/>
    </row>
    <row r="26" spans="1:8" x14ac:dyDescent="0.2">
      <c r="A26" s="73"/>
      <c r="C26" s="337"/>
      <c r="D26" s="73"/>
      <c r="E26" s="443"/>
      <c r="F26" s="444"/>
      <c r="G26" s="443"/>
      <c r="H26" s="443"/>
    </row>
    <row r="27" spans="1:8" x14ac:dyDescent="0.2">
      <c r="A27" s="73"/>
      <c r="C27" s="337"/>
      <c r="D27" s="73"/>
      <c r="E27" s="443"/>
      <c r="F27" s="444"/>
      <c r="G27" s="443"/>
      <c r="H27" s="443"/>
    </row>
    <row r="28" spans="1:8" x14ac:dyDescent="0.2">
      <c r="A28" s="73"/>
      <c r="C28" s="337"/>
      <c r="D28" s="73"/>
      <c r="E28" s="443"/>
      <c r="F28" s="444"/>
      <c r="G28" s="443"/>
      <c r="H28" s="443"/>
    </row>
    <row r="29" spans="1:8" x14ac:dyDescent="0.2">
      <c r="A29" s="73"/>
      <c r="C29" s="337"/>
      <c r="D29" s="73"/>
      <c r="E29" s="443"/>
      <c r="F29" s="444"/>
      <c r="G29" s="443"/>
      <c r="H29" s="443"/>
    </row>
    <row r="30" spans="1:8" x14ac:dyDescent="0.2">
      <c r="A30" s="73"/>
      <c r="C30" s="337"/>
      <c r="D30" s="73"/>
      <c r="E30" s="443"/>
      <c r="F30" s="444"/>
      <c r="G30" s="443"/>
      <c r="H30" s="443"/>
    </row>
    <row r="31" spans="1:8" x14ac:dyDescent="0.2">
      <c r="A31" s="73"/>
      <c r="C31" s="337"/>
      <c r="D31" s="443"/>
      <c r="E31" s="443"/>
      <c r="F31" s="444"/>
      <c r="G31" s="443"/>
      <c r="H31" s="443"/>
    </row>
    <row r="32" spans="1:8" x14ac:dyDescent="0.2">
      <c r="A32" s="73"/>
      <c r="C32" s="337"/>
      <c r="D32" s="443"/>
      <c r="E32" s="443"/>
      <c r="F32" s="443"/>
      <c r="G32" s="443"/>
      <c r="H32" s="443"/>
    </row>
    <row r="33" spans="1:8" x14ac:dyDescent="0.2">
      <c r="A33" s="73"/>
      <c r="C33" s="337"/>
      <c r="D33" s="443"/>
      <c r="E33" s="443"/>
      <c r="F33" s="443"/>
      <c r="G33" s="443"/>
      <c r="H33" s="443"/>
    </row>
    <row r="34" spans="1:8" x14ac:dyDescent="0.2">
      <c r="A34" s="73"/>
      <c r="C34" s="337"/>
      <c r="D34" s="443"/>
      <c r="E34" s="443"/>
      <c r="F34" s="443"/>
      <c r="G34" s="443"/>
      <c r="H34" s="443"/>
    </row>
    <row r="35" spans="1:8" x14ac:dyDescent="0.2">
      <c r="A35" s="73"/>
      <c r="C35" s="337"/>
      <c r="D35" s="443"/>
      <c r="E35" s="443"/>
      <c r="F35" s="443"/>
      <c r="G35" s="443"/>
      <c r="H35" s="443"/>
    </row>
    <row r="36" spans="1:8" x14ac:dyDescent="0.2">
      <c r="A36" s="73"/>
      <c r="C36" s="337"/>
      <c r="D36" s="443"/>
      <c r="E36" s="443"/>
      <c r="F36" s="443"/>
      <c r="G36" s="443"/>
      <c r="H36" s="443"/>
    </row>
    <row r="37" spans="1:8" x14ac:dyDescent="0.2">
      <c r="A37" s="73"/>
      <c r="C37" s="337"/>
      <c r="D37" s="443"/>
      <c r="E37" s="443"/>
      <c r="F37" s="443"/>
      <c r="G37" s="443"/>
      <c r="H37" s="443"/>
    </row>
    <row r="38" spans="1:8" x14ac:dyDescent="0.2">
      <c r="A38" s="73"/>
      <c r="C38" s="337"/>
      <c r="D38" s="443"/>
      <c r="E38" s="443"/>
      <c r="F38" s="443"/>
      <c r="G38" s="443"/>
      <c r="H38" s="443"/>
    </row>
    <row r="39" spans="1:8" x14ac:dyDescent="0.2">
      <c r="A39" s="73"/>
      <c r="C39" s="337"/>
    </row>
    <row r="40" spans="1:8" x14ac:dyDescent="0.2">
      <c r="A40" s="73"/>
      <c r="C40" s="337"/>
    </row>
    <row r="41" spans="1:8" x14ac:dyDescent="0.2">
      <c r="A41" s="73"/>
      <c r="C41" s="337"/>
    </row>
    <row r="42" spans="1:8" x14ac:dyDescent="0.2">
      <c r="A42" s="73"/>
    </row>
    <row r="43" spans="1:8" x14ac:dyDescent="0.2">
      <c r="A43" s="73"/>
    </row>
    <row r="44" spans="1:8" x14ac:dyDescent="0.2">
      <c r="A44" s="73"/>
    </row>
    <row r="45" spans="1:8" x14ac:dyDescent="0.2">
      <c r="A45" s="73"/>
    </row>
    <row r="46" spans="1:8" x14ac:dyDescent="0.2">
      <c r="A46" s="73"/>
    </row>
    <row r="47" spans="1:8" x14ac:dyDescent="0.2">
      <c r="A47" s="73"/>
    </row>
    <row r="48" spans="1:8" x14ac:dyDescent="0.2">
      <c r="A48" s="73"/>
    </row>
    <row r="49" spans="1:1" x14ac:dyDescent="0.2">
      <c r="A49" s="73"/>
    </row>
    <row r="50" spans="1:1" x14ac:dyDescent="0.2">
      <c r="A50" s="73"/>
    </row>
    <row r="51" spans="1:1" x14ac:dyDescent="0.2">
      <c r="A51" s="73"/>
    </row>
    <row r="52" spans="1:1" x14ac:dyDescent="0.2">
      <c r="A52" s="73"/>
    </row>
    <row r="53" spans="1:1" x14ac:dyDescent="0.2">
      <c r="A53" s="73"/>
    </row>
    <row r="54" spans="1:1" x14ac:dyDescent="0.2">
      <c r="A54" s="73"/>
    </row>
    <row r="55" spans="1:1" x14ac:dyDescent="0.2">
      <c r="A55" s="73"/>
    </row>
    <row r="56" spans="1:1" x14ac:dyDescent="0.2">
      <c r="A56" s="73"/>
    </row>
    <row r="57" spans="1:1" x14ac:dyDescent="0.2">
      <c r="A57" s="73"/>
    </row>
    <row r="58" spans="1:1" x14ac:dyDescent="0.2">
      <c r="A58" s="73"/>
    </row>
    <row r="59" spans="1:1" x14ac:dyDescent="0.2">
      <c r="A59" s="73"/>
    </row>
    <row r="60" spans="1:1" x14ac:dyDescent="0.2">
      <c r="A60" s="73"/>
    </row>
    <row r="61" spans="1:1" x14ac:dyDescent="0.2">
      <c r="A61" s="73"/>
    </row>
    <row r="62" spans="1:1" x14ac:dyDescent="0.2">
      <c r="A62" s="73"/>
    </row>
    <row r="63" spans="1:1" x14ac:dyDescent="0.2">
      <c r="A63" s="73"/>
    </row>
    <row r="64" spans="1:1" x14ac:dyDescent="0.2">
      <c r="A64" s="73"/>
    </row>
    <row r="65" spans="1:1" x14ac:dyDescent="0.2">
      <c r="A65" s="73"/>
    </row>
    <row r="66" spans="1:1" x14ac:dyDescent="0.2">
      <c r="A66" s="73"/>
    </row>
    <row r="67" spans="1:1" x14ac:dyDescent="0.2">
      <c r="A67" s="73"/>
    </row>
    <row r="68" spans="1:1" x14ac:dyDescent="0.2">
      <c r="A68" s="73"/>
    </row>
    <row r="69" spans="1:1" x14ac:dyDescent="0.2">
      <c r="A69" s="73"/>
    </row>
    <row r="70" spans="1:1" x14ac:dyDescent="0.2">
      <c r="A70" s="73"/>
    </row>
    <row r="71" spans="1:1" x14ac:dyDescent="0.2">
      <c r="A71" s="73"/>
    </row>
    <row r="72" spans="1:1" x14ac:dyDescent="0.2">
      <c r="A72" s="73"/>
    </row>
    <row r="73" spans="1:1" x14ac:dyDescent="0.2">
      <c r="A73" s="73"/>
    </row>
    <row r="74" spans="1:1" x14ac:dyDescent="0.2">
      <c r="A74" s="73"/>
    </row>
    <row r="75" spans="1:1" x14ac:dyDescent="0.2">
      <c r="A75" s="73"/>
    </row>
    <row r="76" spans="1:1" x14ac:dyDescent="0.2">
      <c r="A76" s="73"/>
    </row>
    <row r="77" spans="1:1" x14ac:dyDescent="0.2">
      <c r="A77" s="73"/>
    </row>
    <row r="78" spans="1:1" x14ac:dyDescent="0.2">
      <c r="A78" s="73"/>
    </row>
    <row r="79" spans="1:1" x14ac:dyDescent="0.2">
      <c r="A79" s="73"/>
    </row>
    <row r="80" spans="1:1" x14ac:dyDescent="0.2">
      <c r="A80" s="73"/>
    </row>
    <row r="81" spans="1:1" x14ac:dyDescent="0.2">
      <c r="A81" s="73"/>
    </row>
    <row r="82" spans="1:1" x14ac:dyDescent="0.2">
      <c r="A82" s="73"/>
    </row>
    <row r="83" spans="1:1" x14ac:dyDescent="0.2">
      <c r="A83" s="73"/>
    </row>
    <row r="84" spans="1:1" x14ac:dyDescent="0.2">
      <c r="A84" s="73"/>
    </row>
    <row r="85" spans="1:1" x14ac:dyDescent="0.2">
      <c r="A85" s="73"/>
    </row>
    <row r="86" spans="1:1" x14ac:dyDescent="0.2">
      <c r="A86" s="73"/>
    </row>
    <row r="87" spans="1:1" x14ac:dyDescent="0.2">
      <c r="A87" s="73"/>
    </row>
    <row r="88" spans="1:1" x14ac:dyDescent="0.2">
      <c r="A88" s="73"/>
    </row>
    <row r="89" spans="1:1" x14ac:dyDescent="0.2">
      <c r="A89" s="73"/>
    </row>
    <row r="90" spans="1:1" x14ac:dyDescent="0.2">
      <c r="A90" s="73"/>
    </row>
    <row r="91" spans="1:1" x14ac:dyDescent="0.2">
      <c r="A91" s="73"/>
    </row>
    <row r="92" spans="1:1" x14ac:dyDescent="0.2">
      <c r="A92" s="73"/>
    </row>
    <row r="93" spans="1:1" x14ac:dyDescent="0.2">
      <c r="A93" s="73"/>
    </row>
    <row r="94" spans="1:1" x14ac:dyDescent="0.2">
      <c r="A94" s="73"/>
    </row>
    <row r="95" spans="1:1" x14ac:dyDescent="0.2">
      <c r="A95" s="73"/>
    </row>
    <row r="96" spans="1:1" x14ac:dyDescent="0.2">
      <c r="A96" s="73"/>
    </row>
    <row r="97" spans="1:1" x14ac:dyDescent="0.2">
      <c r="A97" s="73"/>
    </row>
    <row r="98" spans="1:1" x14ac:dyDescent="0.2">
      <c r="A98" s="73"/>
    </row>
    <row r="99" spans="1:1" x14ac:dyDescent="0.2">
      <c r="A99" s="73"/>
    </row>
    <row r="100" spans="1:1" x14ac:dyDescent="0.2">
      <c r="A100" s="73"/>
    </row>
    <row r="101" spans="1:1" x14ac:dyDescent="0.2">
      <c r="A101" s="73"/>
    </row>
    <row r="102" spans="1:1" x14ac:dyDescent="0.2">
      <c r="A102" s="73"/>
    </row>
    <row r="103" spans="1:1" x14ac:dyDescent="0.2">
      <c r="A103" s="73"/>
    </row>
    <row r="104" spans="1:1" x14ac:dyDescent="0.2">
      <c r="A104" s="73"/>
    </row>
    <row r="105" spans="1:1" x14ac:dyDescent="0.2">
      <c r="A105" s="73"/>
    </row>
    <row r="106" spans="1:1" x14ac:dyDescent="0.2">
      <c r="A106" s="73"/>
    </row>
    <row r="107" spans="1:1" x14ac:dyDescent="0.2">
      <c r="A107" s="73"/>
    </row>
    <row r="108" spans="1:1" x14ac:dyDescent="0.2">
      <c r="A108" s="73"/>
    </row>
    <row r="109" spans="1:1" x14ac:dyDescent="0.2">
      <c r="A109" s="73"/>
    </row>
    <row r="110" spans="1:1" x14ac:dyDescent="0.2">
      <c r="A110" s="73"/>
    </row>
    <row r="111" spans="1:1" x14ac:dyDescent="0.2">
      <c r="A111" s="73"/>
    </row>
    <row r="112" spans="1:1" x14ac:dyDescent="0.2">
      <c r="A112" s="73"/>
    </row>
    <row r="113" spans="1:1" x14ac:dyDescent="0.2">
      <c r="A113" s="73"/>
    </row>
    <row r="114" spans="1:1" x14ac:dyDescent="0.2">
      <c r="A114" s="73"/>
    </row>
  </sheetData>
  <sheetProtection algorithmName="SHA-512" hashValue="wkcxPqAwTmv3hv8JF2PTkfXE+3zRIx238mc4nWsVjnPlRwkZqBnF4PmzENQBz0gw5HK8RL+EUoGiSR20+bXavQ==" saltValue="vhPAXnw5CMCy1zBywj71Rg==" spinCount="100000" sheet="1" objects="1" scenarios="1"/>
  <pageMargins left="0.7" right="0.7" top="0.75" bottom="0.75" header="0.3" footer="0.3"/>
  <pageSetup scale="54"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S30"/>
  <sheetViews>
    <sheetView zoomScaleNormal="100" workbookViewId="0">
      <selection activeCell="K25" sqref="K25"/>
    </sheetView>
  </sheetViews>
  <sheetFormatPr defaultColWidth="8" defaultRowHeight="11.25" x14ac:dyDescent="0.2"/>
  <cols>
    <col min="1" max="1" width="7.5703125" style="57" customWidth="1"/>
    <col min="2" max="2" width="33.85546875" style="57" customWidth="1"/>
    <col min="3" max="3" width="18" style="59" customWidth="1"/>
    <col min="4" max="4" width="18.28515625" style="57" customWidth="1"/>
    <col min="5" max="5" width="9.140625" style="57" customWidth="1"/>
    <col min="6" max="16384" width="8" style="57"/>
  </cols>
  <sheetData>
    <row r="1" spans="1:19" ht="12.75" x14ac:dyDescent="0.2">
      <c r="B1" s="66"/>
      <c r="C1" s="229" t="s">
        <v>394</v>
      </c>
    </row>
    <row r="2" spans="1:19" ht="12.75" x14ac:dyDescent="0.2">
      <c r="A2" s="62" t="s">
        <v>395</v>
      </c>
      <c r="B2" s="58"/>
      <c r="C2" s="64" t="s">
        <v>396</v>
      </c>
    </row>
    <row r="3" spans="1:19" ht="12.75" x14ac:dyDescent="0.2">
      <c r="A3" s="63" t="s">
        <v>397</v>
      </c>
      <c r="B3" s="63" t="s">
        <v>398</v>
      </c>
      <c r="C3" s="65" t="s">
        <v>399</v>
      </c>
      <c r="D3" s="67" t="s">
        <v>400</v>
      </c>
      <c r="R3" s="76" t="s">
        <v>401</v>
      </c>
      <c r="S3" s="76" t="s">
        <v>402</v>
      </c>
    </row>
    <row r="4" spans="1:19" ht="6.75" customHeight="1" x14ac:dyDescent="0.2">
      <c r="A4" s="76"/>
    </row>
    <row r="5" spans="1:19" ht="15.75" x14ac:dyDescent="0.25">
      <c r="A5" s="60" t="s">
        <v>403</v>
      </c>
      <c r="B5" s="61" t="s">
        <v>404</v>
      </c>
      <c r="C5" s="292"/>
      <c r="R5" s="60" t="s">
        <v>403</v>
      </c>
      <c r="S5" s="60" t="s">
        <v>405</v>
      </c>
    </row>
    <row r="6" spans="1:19" ht="15.75" x14ac:dyDescent="0.25">
      <c r="A6" s="60" t="s">
        <v>20</v>
      </c>
      <c r="B6" s="61" t="s">
        <v>406</v>
      </c>
      <c r="C6" s="290">
        <v>1622477266</v>
      </c>
      <c r="R6" s="60" t="s">
        <v>20</v>
      </c>
      <c r="S6" s="60" t="s">
        <v>407</v>
      </c>
    </row>
    <row r="7" spans="1:19" ht="15.75" x14ac:dyDescent="0.25">
      <c r="A7" s="60" t="s">
        <v>408</v>
      </c>
      <c r="B7" s="61" t="s">
        <v>409</v>
      </c>
      <c r="C7" s="290">
        <v>1007948598</v>
      </c>
      <c r="R7" s="60" t="s">
        <v>408</v>
      </c>
      <c r="S7" s="60" t="s">
        <v>410</v>
      </c>
    </row>
    <row r="8" spans="1:19" ht="15.75" x14ac:dyDescent="0.25">
      <c r="A8" s="60" t="s">
        <v>411</v>
      </c>
      <c r="B8" s="61" t="s">
        <v>412</v>
      </c>
      <c r="C8" s="291"/>
      <c r="R8" s="60" t="s">
        <v>411</v>
      </c>
      <c r="S8" s="60" t="s">
        <v>413</v>
      </c>
    </row>
    <row r="9" spans="1:19" ht="15.75" x14ac:dyDescent="0.25">
      <c r="A9" s="60" t="s">
        <v>414</v>
      </c>
      <c r="B9" s="61" t="s">
        <v>415</v>
      </c>
      <c r="C9" s="290">
        <v>271914610</v>
      </c>
      <c r="R9" s="60" t="s">
        <v>414</v>
      </c>
      <c r="S9" s="60" t="s">
        <v>416</v>
      </c>
    </row>
    <row r="10" spans="1:19" ht="15.75" x14ac:dyDescent="0.25">
      <c r="A10" s="60" t="s">
        <v>417</v>
      </c>
      <c r="B10" s="61" t="s">
        <v>418</v>
      </c>
      <c r="C10" s="290">
        <v>56383668</v>
      </c>
      <c r="R10" s="60" t="s">
        <v>417</v>
      </c>
      <c r="S10" s="60" t="s">
        <v>419</v>
      </c>
    </row>
    <row r="11" spans="1:19" ht="15.75" x14ac:dyDescent="0.25">
      <c r="A11" s="60" t="s">
        <v>420</v>
      </c>
      <c r="B11" s="61" t="s">
        <v>421</v>
      </c>
      <c r="C11" s="292"/>
      <c r="R11" s="60" t="s">
        <v>420</v>
      </c>
      <c r="S11" s="60" t="s">
        <v>422</v>
      </c>
    </row>
    <row r="12" spans="1:19" ht="15.75" x14ac:dyDescent="0.25">
      <c r="A12" s="60" t="s">
        <v>423</v>
      </c>
      <c r="B12" s="61" t="s">
        <v>424</v>
      </c>
      <c r="C12" s="290">
        <v>233646085</v>
      </c>
      <c r="R12" s="60" t="s">
        <v>423</v>
      </c>
      <c r="S12" s="60" t="s">
        <v>425</v>
      </c>
    </row>
    <row r="13" spans="1:19" ht="15.75" x14ac:dyDescent="0.25">
      <c r="A13" s="60" t="s">
        <v>426</v>
      </c>
      <c r="B13" s="61" t="s">
        <v>427</v>
      </c>
      <c r="C13" s="290">
        <v>62601772</v>
      </c>
      <c r="R13" s="60" t="s">
        <v>426</v>
      </c>
      <c r="S13" s="60" t="s">
        <v>428</v>
      </c>
    </row>
    <row r="14" spans="1:19" ht="15.75" x14ac:dyDescent="0.25">
      <c r="A14" s="60" t="s">
        <v>429</v>
      </c>
      <c r="B14" s="61" t="s">
        <v>430</v>
      </c>
      <c r="C14" s="292"/>
      <c r="R14" s="60" t="s">
        <v>429</v>
      </c>
      <c r="S14" s="60" t="s">
        <v>431</v>
      </c>
    </row>
    <row r="15" spans="1:19" ht="15.75" x14ac:dyDescent="0.25">
      <c r="A15" s="60" t="s">
        <v>432</v>
      </c>
      <c r="B15" s="61" t="s">
        <v>433</v>
      </c>
      <c r="C15" s="290">
        <f>PriorYrExhD!O42</f>
        <v>0</v>
      </c>
      <c r="R15" s="60" t="s">
        <v>432</v>
      </c>
      <c r="S15" s="60" t="s">
        <v>434</v>
      </c>
    </row>
    <row r="16" spans="1:19" ht="15.75" x14ac:dyDescent="0.25">
      <c r="A16" s="60" t="s">
        <v>435</v>
      </c>
      <c r="B16" s="61" t="s">
        <v>436</v>
      </c>
      <c r="C16" s="291"/>
      <c r="R16" s="60" t="s">
        <v>435</v>
      </c>
      <c r="S16" s="60" t="s">
        <v>437</v>
      </c>
    </row>
    <row r="17" spans="1:19" ht="15.75" x14ac:dyDescent="0.25">
      <c r="A17" s="60" t="s">
        <v>438</v>
      </c>
      <c r="B17" s="61" t="s">
        <v>439</v>
      </c>
      <c r="C17" s="290">
        <v>76490201</v>
      </c>
      <c r="R17" s="60" t="s">
        <v>438</v>
      </c>
      <c r="S17" s="60" t="s">
        <v>440</v>
      </c>
    </row>
    <row r="18" spans="1:19" ht="15.75" x14ac:dyDescent="0.25">
      <c r="A18" s="60" t="s">
        <v>441</v>
      </c>
      <c r="B18" s="61" t="s">
        <v>442</v>
      </c>
      <c r="C18" s="292"/>
      <c r="R18" s="60" t="s">
        <v>441</v>
      </c>
      <c r="S18" s="60" t="s">
        <v>443</v>
      </c>
    </row>
    <row r="19" spans="1:19" ht="15.75" x14ac:dyDescent="0.25">
      <c r="A19" s="60" t="s">
        <v>444</v>
      </c>
      <c r="B19" s="61" t="s">
        <v>445</v>
      </c>
      <c r="C19" s="292"/>
      <c r="R19" s="60" t="s">
        <v>444</v>
      </c>
      <c r="S19" s="60" t="s">
        <v>446</v>
      </c>
    </row>
    <row r="20" spans="1:19" ht="15.75" x14ac:dyDescent="0.25">
      <c r="A20" s="60" t="s">
        <v>447</v>
      </c>
      <c r="B20" s="61" t="s">
        <v>448</v>
      </c>
      <c r="C20" s="290">
        <v>53644847</v>
      </c>
      <c r="R20" s="60" t="s">
        <v>447</v>
      </c>
      <c r="S20" s="60" t="s">
        <v>449</v>
      </c>
    </row>
    <row r="21" spans="1:19" ht="15.75" x14ac:dyDescent="0.25">
      <c r="A21" s="60" t="s">
        <v>450</v>
      </c>
      <c r="B21" s="61" t="s">
        <v>451</v>
      </c>
      <c r="C21" s="290">
        <v>112001689</v>
      </c>
      <c r="R21" s="60" t="s">
        <v>450</v>
      </c>
      <c r="S21" s="60" t="s">
        <v>452</v>
      </c>
    </row>
    <row r="22" spans="1:19" ht="13.5" customHeight="1" x14ac:dyDescent="0.25">
      <c r="A22" s="60">
        <v>87</v>
      </c>
      <c r="B22" s="61" t="s">
        <v>453</v>
      </c>
      <c r="C22" s="290">
        <v>42895584</v>
      </c>
      <c r="R22" s="60">
        <v>87</v>
      </c>
      <c r="S22" s="60" t="s">
        <v>454</v>
      </c>
    </row>
    <row r="23" spans="1:19" ht="13.5" thickBot="1" x14ac:dyDescent="0.25">
      <c r="C23" s="246">
        <f>SUM(C5:C22)</f>
        <v>3540004320</v>
      </c>
      <c r="D23" s="247"/>
      <c r="E23" s="247"/>
    </row>
    <row r="24" spans="1:19" ht="12" thickTop="1" x14ac:dyDescent="0.2"/>
    <row r="25" spans="1:19" x14ac:dyDescent="0.2">
      <c r="A25" s="146" t="s">
        <v>455</v>
      </c>
    </row>
    <row r="26" spans="1:19" ht="13.5" x14ac:dyDescent="0.35">
      <c r="A26" s="77"/>
    </row>
    <row r="27" spans="1:19" x14ac:dyDescent="0.2">
      <c r="A27" s="76" t="s">
        <v>456</v>
      </c>
    </row>
    <row r="28" spans="1:19" x14ac:dyDescent="0.2">
      <c r="A28" s="76" t="s">
        <v>457</v>
      </c>
    </row>
    <row r="29" spans="1:19" x14ac:dyDescent="0.2">
      <c r="A29" s="76" t="s">
        <v>458</v>
      </c>
    </row>
    <row r="30" spans="1:19" x14ac:dyDescent="0.2">
      <c r="A30" s="76" t="s">
        <v>459</v>
      </c>
    </row>
  </sheetData>
  <sheetProtection algorithmName="SHA-512" hashValue="AQGmCv0dTNhVXYr2IXGytQ3usSZdwvfBM1Y2VYomkhQM7xwlGSpsocOazMAGaUWhcA6TY886Lug9zkJkps1Hsg==" saltValue="VzpDngh38f45Ng3o90Hl9w==" spinCount="100000" sheet="1" autoFilter="0"/>
  <phoneticPr fontId="20" type="noConversion"/>
  <pageMargins left="0.75" right="0.75" top="1" bottom="0.5" header="0.5" footer="0.5"/>
  <pageSetup scale="90" orientation="landscape"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Y55"/>
  <sheetViews>
    <sheetView zoomScaleNormal="100" workbookViewId="0">
      <pane xSplit="3" ySplit="6" topLeftCell="D7" activePane="bottomRight" state="frozen"/>
      <selection pane="topRight" activeCell="A5" sqref="A5"/>
      <selection pane="bottomLeft" activeCell="A5" sqref="A5"/>
      <selection pane="bottomRight" activeCell="X23" sqref="X23"/>
    </sheetView>
  </sheetViews>
  <sheetFormatPr defaultColWidth="9.140625" defaultRowHeight="12.75" x14ac:dyDescent="0.25"/>
  <cols>
    <col min="1" max="1" width="4.42578125" style="78" customWidth="1"/>
    <col min="2" max="2" width="4.7109375" style="114" customWidth="1"/>
    <col min="3" max="3" width="31.42578125" style="114" customWidth="1"/>
    <col min="4" max="4" width="2.28515625" style="114" customWidth="1"/>
    <col min="5" max="5" width="6.7109375" style="114" customWidth="1"/>
    <col min="6" max="6" width="11" style="114" customWidth="1"/>
    <col min="7" max="7" width="10.42578125" style="114" customWidth="1"/>
    <col min="8" max="8" width="6" style="114" customWidth="1"/>
    <col min="9" max="9" width="10.5703125" style="114" bestFit="1" customWidth="1"/>
    <col min="10" max="10" width="10.5703125" style="114" customWidth="1"/>
    <col min="11" max="11" width="7.140625" style="114" bestFit="1" customWidth="1"/>
    <col min="12" max="12" width="10.140625" style="114" customWidth="1"/>
    <col min="13" max="13" width="10.7109375" style="114" customWidth="1"/>
    <col min="14" max="14" width="7.140625" style="114" bestFit="1" customWidth="1"/>
    <col min="15" max="15" width="10.5703125" style="114" customWidth="1"/>
    <col min="16" max="16" width="11" style="114" bestFit="1" customWidth="1"/>
    <col min="17" max="17" width="10.140625" style="114" customWidth="1"/>
    <col min="18" max="18" width="5.140625" style="114" customWidth="1"/>
    <col min="19" max="19" width="7.140625" style="114" bestFit="1" customWidth="1"/>
    <col min="20" max="20" width="9.5703125" style="114" customWidth="1"/>
    <col min="21" max="21" width="9.85546875" style="114" bestFit="1" customWidth="1"/>
    <col min="22" max="22" width="10.5703125" style="114" customWidth="1"/>
    <col min="23" max="23" width="1.5703125" style="114" customWidth="1"/>
    <col min="24" max="24" width="11.42578125" style="97" customWidth="1"/>
    <col min="25" max="25" width="9.85546875" style="114" bestFit="1" customWidth="1"/>
    <col min="26" max="26" width="11" style="114" bestFit="1" customWidth="1"/>
    <col min="27" max="71" width="9.28515625" style="114" customWidth="1"/>
    <col min="72" max="16384" width="9.140625" style="114"/>
  </cols>
  <sheetData>
    <row r="1" spans="1:25" x14ac:dyDescent="0.25">
      <c r="C1" s="115" t="s">
        <v>460</v>
      </c>
      <c r="D1" s="116"/>
    </row>
    <row r="2" spans="1:25" s="116" customFormat="1" ht="13.5" x14ac:dyDescent="0.25">
      <c r="A2" s="82"/>
      <c r="C2" s="117" t="s">
        <v>461</v>
      </c>
      <c r="E2" s="46" t="s">
        <v>462</v>
      </c>
      <c r="F2" s="46" t="s">
        <v>463</v>
      </c>
      <c r="G2" s="46" t="s">
        <v>464</v>
      </c>
      <c r="H2" s="46" t="s">
        <v>465</v>
      </c>
      <c r="I2" s="46" t="s">
        <v>466</v>
      </c>
      <c r="J2" s="46" t="s">
        <v>467</v>
      </c>
      <c r="K2" s="46" t="s">
        <v>468</v>
      </c>
      <c r="L2" s="46" t="s">
        <v>469</v>
      </c>
      <c r="M2" s="46" t="s">
        <v>470</v>
      </c>
      <c r="N2" s="46" t="s">
        <v>471</v>
      </c>
      <c r="O2" s="46" t="s">
        <v>472</v>
      </c>
      <c r="P2" s="46" t="s">
        <v>473</v>
      </c>
      <c r="Q2" s="46" t="s">
        <v>474</v>
      </c>
      <c r="R2" s="46" t="s">
        <v>475</v>
      </c>
      <c r="S2" s="46" t="s">
        <v>476</v>
      </c>
      <c r="T2" s="46" t="s">
        <v>477</v>
      </c>
      <c r="U2" s="46" t="s">
        <v>478</v>
      </c>
      <c r="V2" s="46" t="s">
        <v>479</v>
      </c>
      <c r="X2" s="98"/>
    </row>
    <row r="3" spans="1:25" s="116" customFormat="1" ht="13.5" customHeight="1" x14ac:dyDescent="0.25">
      <c r="A3" s="82"/>
      <c r="C3" s="85">
        <v>45473</v>
      </c>
      <c r="D3" s="86"/>
      <c r="X3" s="98"/>
    </row>
    <row r="4" spans="1:25" s="116" customFormat="1" ht="11.1" customHeight="1" x14ac:dyDescent="0.25">
      <c r="A4" s="82"/>
      <c r="C4" s="132" t="s">
        <v>480</v>
      </c>
      <c r="D4" s="86"/>
      <c r="X4" s="98"/>
    </row>
    <row r="5" spans="1:25" s="116" customFormat="1" x14ac:dyDescent="0.25">
      <c r="A5" s="82"/>
      <c r="C5" s="87" t="s">
        <v>481</v>
      </c>
      <c r="D5" s="86"/>
      <c r="M5" s="116" t="s">
        <v>482</v>
      </c>
      <c r="O5" s="116" t="s">
        <v>482</v>
      </c>
      <c r="Q5" s="116" t="s">
        <v>482</v>
      </c>
      <c r="X5" s="98" t="s">
        <v>483</v>
      </c>
    </row>
    <row r="6" spans="1:25" s="116" customFormat="1" ht="15" customHeight="1" x14ac:dyDescent="0.25">
      <c r="A6" s="82"/>
      <c r="C6" s="1" t="s">
        <v>260</v>
      </c>
      <c r="E6" s="118" t="s">
        <v>484</v>
      </c>
      <c r="F6" s="118" t="s">
        <v>485</v>
      </c>
      <c r="G6" s="118" t="s">
        <v>486</v>
      </c>
      <c r="H6" s="118" t="s">
        <v>487</v>
      </c>
      <c r="I6" s="118" t="s">
        <v>488</v>
      </c>
      <c r="J6" s="118" t="s">
        <v>489</v>
      </c>
      <c r="K6" s="118" t="s">
        <v>490</v>
      </c>
      <c r="L6" s="118" t="s">
        <v>491</v>
      </c>
      <c r="M6" s="118" t="s">
        <v>492</v>
      </c>
      <c r="N6" s="118" t="s">
        <v>493</v>
      </c>
      <c r="O6" s="118" t="s">
        <v>494</v>
      </c>
      <c r="P6" s="118" t="s">
        <v>495</v>
      </c>
      <c r="Q6" s="118" t="s">
        <v>496</v>
      </c>
      <c r="R6" s="118" t="s">
        <v>497</v>
      </c>
      <c r="S6" s="118" t="s">
        <v>498</v>
      </c>
      <c r="T6" s="118" t="s">
        <v>499</v>
      </c>
      <c r="U6" s="118" t="s">
        <v>500</v>
      </c>
      <c r="V6" s="118" t="s">
        <v>501</v>
      </c>
      <c r="W6" s="118"/>
      <c r="X6" s="99" t="s">
        <v>502</v>
      </c>
    </row>
    <row r="7" spans="1:25" s="116" customFormat="1" ht="13.5" customHeight="1" x14ac:dyDescent="0.25">
      <c r="A7" s="82">
        <v>3240</v>
      </c>
      <c r="B7" s="451">
        <v>100</v>
      </c>
      <c r="C7" s="214" t="s">
        <v>56</v>
      </c>
      <c r="E7" s="142"/>
      <c r="F7" s="139">
        <f>VLOOKUP(A7,'PYExhD Data'!$A$7:$V$42,6,FALSE)</f>
        <v>79992029</v>
      </c>
      <c r="G7" s="139">
        <f>VLOOKUP(A7,'PYExhD Data'!$A$7:$V$42,7,FALSE)</f>
        <v>70869912</v>
      </c>
      <c r="H7" s="142"/>
      <c r="I7" s="139">
        <f>VLOOKUP(A7,'PYExhD Data'!$A$7:$V$42,9,FALSE)</f>
        <v>38026806</v>
      </c>
      <c r="J7" s="139">
        <f>VLOOKUP(A7,'PYExhD Data'!$A$7:$V$42,10,FALSE)</f>
        <v>4168687</v>
      </c>
      <c r="K7" s="142"/>
      <c r="L7" s="139">
        <f>VLOOKUP(A7,'PYExhD Data'!$A$7:$V$42,12,FALSE)</f>
        <v>13076958</v>
      </c>
      <c r="M7" s="139">
        <f>VLOOKUP(A7,'PYExhD Data'!$A$7:$V$42,13,FALSE)</f>
        <v>50988076</v>
      </c>
      <c r="N7" s="142"/>
      <c r="O7" s="139">
        <f>VLOOKUP(A7,'PYExhD Data'!$A$7:$V$42,15,FALSE)</f>
        <v>0</v>
      </c>
      <c r="P7" s="144"/>
      <c r="Q7" s="139">
        <f>VLOOKUP(A7,'PYExhD Data'!$A$7:$V$42,17,FALSE)</f>
        <v>4330067</v>
      </c>
      <c r="R7" s="142"/>
      <c r="S7" s="142"/>
      <c r="T7" s="139">
        <f>VLOOKUP(A7,'PYExhD Data'!$A$7:$V$42,20,FALSE)</f>
        <v>4994499</v>
      </c>
      <c r="U7" s="139">
        <f>VLOOKUP(A7,'PYExhD Data'!$A$7:$V$42,21,FALSE)</f>
        <v>17124622</v>
      </c>
      <c r="V7" s="139">
        <f>VLOOKUP(A7,'PYExhD Data'!$A$7:$V$42,22,FALSE)</f>
        <v>17396508</v>
      </c>
      <c r="X7" s="97">
        <f t="shared" ref="X7:X18" si="0">SUM(E7:W7)</f>
        <v>300968164</v>
      </c>
    </row>
    <row r="8" spans="1:25" ht="13.5" customHeight="1" x14ac:dyDescent="0.25">
      <c r="A8" s="78">
        <v>3250</v>
      </c>
      <c r="B8" s="451">
        <v>105</v>
      </c>
      <c r="C8" s="214" t="s">
        <v>58</v>
      </c>
      <c r="D8" s="89"/>
      <c r="E8" s="142"/>
      <c r="F8" s="139">
        <f>VLOOKUP(A8,'PYExhD Data'!$A$7:$V$42,6,FALSE)</f>
        <v>1462066859</v>
      </c>
      <c r="G8" s="139">
        <f>VLOOKUP(A8,'PYExhD Data'!$A$7:$V$42,7,FALSE)</f>
        <v>69544669</v>
      </c>
      <c r="H8" s="142"/>
      <c r="I8" s="139">
        <f>VLOOKUP(A8,'PYExhD Data'!$A$7:$V$42,9,FALSE)</f>
        <v>15273763</v>
      </c>
      <c r="J8" s="139">
        <f>VLOOKUP(A8,'PYExhD Data'!$A$7:$V$42,10,FALSE)</f>
        <v>1209954</v>
      </c>
      <c r="K8" s="142"/>
      <c r="L8" s="139">
        <f>VLOOKUP(A8,'PYExhD Data'!$A$7:$V$42,12,FALSE)</f>
        <v>35618446</v>
      </c>
      <c r="M8" s="139">
        <f>VLOOKUP(A8,'PYExhD Data'!$A$7:$V$42,13,FALSE)</f>
        <v>12991457</v>
      </c>
      <c r="N8" s="142"/>
      <c r="O8" s="139">
        <f>VLOOKUP(A8,'PYExhD Data'!$A$7:$V$42,15,FALSE)</f>
        <v>0</v>
      </c>
      <c r="P8" s="144"/>
      <c r="Q8" s="139">
        <f>VLOOKUP(A8,'PYExhD Data'!$A$7:$V$42,17,FALSE)</f>
        <v>23865116</v>
      </c>
      <c r="R8" s="142"/>
      <c r="S8" s="142"/>
      <c r="T8" s="139">
        <f>VLOOKUP(A8,'PYExhD Data'!$A$7:$V$42,20,FALSE)</f>
        <v>2594621</v>
      </c>
      <c r="U8" s="139">
        <f>VLOOKUP(A8,'PYExhD Data'!$A$7:$V$42,21,FALSE)</f>
        <v>338231</v>
      </c>
      <c r="V8" s="139">
        <f>VLOOKUP(A8,'PYExhD Data'!$A$7:$V$42,22,FALSE)</f>
        <v>0</v>
      </c>
      <c r="W8" s="93"/>
      <c r="X8" s="97">
        <f t="shared" si="0"/>
        <v>1623503116</v>
      </c>
      <c r="Y8" s="116"/>
    </row>
    <row r="9" spans="1:25" ht="13.5" customHeight="1" x14ac:dyDescent="0.25">
      <c r="A9" s="78">
        <v>3270</v>
      </c>
      <c r="B9" s="451">
        <v>110</v>
      </c>
      <c r="C9" s="214" t="s">
        <v>65</v>
      </c>
      <c r="D9" s="89"/>
      <c r="E9" s="142"/>
      <c r="F9" s="139">
        <f>VLOOKUP(A9,'PYExhD Data'!$A$7:$V$42,6,FALSE)</f>
        <v>73462109</v>
      </c>
      <c r="G9" s="139">
        <f>VLOOKUP(A9,'PYExhD Data'!$A$7:$V$42,7,FALSE)</f>
        <v>30584771</v>
      </c>
      <c r="H9" s="142"/>
      <c r="I9" s="139">
        <f>VLOOKUP(A9,'PYExhD Data'!$A$7:$V$42,9,FALSE)</f>
        <v>13560653</v>
      </c>
      <c r="J9" s="139">
        <f>VLOOKUP(A9,'PYExhD Data'!$A$7:$V$42,10,FALSE)</f>
        <v>2280002</v>
      </c>
      <c r="K9" s="142"/>
      <c r="L9" s="139">
        <f>VLOOKUP(A9,'PYExhD Data'!$A$7:$V$42,12,FALSE)</f>
        <v>10521965</v>
      </c>
      <c r="M9" s="139">
        <f>VLOOKUP(A9,'PYExhD Data'!$A$7:$V$42,13,FALSE)</f>
        <v>3798864</v>
      </c>
      <c r="N9" s="142"/>
      <c r="O9" s="139">
        <f>VLOOKUP(A9,'PYExhD Data'!$A$7:$V$42,15,FALSE)</f>
        <v>0</v>
      </c>
      <c r="P9" s="144"/>
      <c r="Q9" s="139">
        <f>VLOOKUP(A9,'PYExhD Data'!$A$7:$V$42,17,FALSE)</f>
        <v>576703</v>
      </c>
      <c r="R9" s="142"/>
      <c r="S9" s="142"/>
      <c r="T9" s="139">
        <f>VLOOKUP(A9,'PYExhD Data'!$A$7:$V$42,20,FALSE)</f>
        <v>7270443</v>
      </c>
      <c r="U9" s="139">
        <f>VLOOKUP(A9,'PYExhD Data'!$A$7:$V$42,21,FALSE)</f>
        <v>5331265</v>
      </c>
      <c r="V9" s="139">
        <f>VLOOKUP(A9,'PYExhD Data'!$A$7:$V$42,22,FALSE)</f>
        <v>3835887</v>
      </c>
      <c r="W9" s="93"/>
      <c r="X9" s="97">
        <f t="shared" si="0"/>
        <v>151222662</v>
      </c>
      <c r="Y9" s="116"/>
    </row>
    <row r="10" spans="1:25" ht="13.5" customHeight="1" x14ac:dyDescent="0.25">
      <c r="A10" s="78">
        <v>3285</v>
      </c>
      <c r="B10" s="451">
        <v>112</v>
      </c>
      <c r="C10" s="214" t="s">
        <v>261</v>
      </c>
      <c r="D10" s="90"/>
      <c r="E10" s="142"/>
      <c r="F10" s="139">
        <f>VLOOKUP(A10,'PYExhD Data'!$A$7:$V$42,6,FALSE)</f>
        <v>6123295</v>
      </c>
      <c r="G10" s="139">
        <f>VLOOKUP(A10,'PYExhD Data'!$A$7:$V$42,7,FALSE)</f>
        <v>0</v>
      </c>
      <c r="H10" s="142"/>
      <c r="I10" s="139">
        <f>VLOOKUP(A10,'PYExhD Data'!$A$7:$V$42,9,FALSE)</f>
        <v>69529731</v>
      </c>
      <c r="J10" s="139">
        <f>VLOOKUP(A10,'PYExhD Data'!$A$7:$V$42,10,FALSE)</f>
        <v>0</v>
      </c>
      <c r="K10" s="142"/>
      <c r="L10" s="139">
        <f>VLOOKUP(A10,'PYExhD Data'!$A$7:$V$42,12,FALSE)</f>
        <v>0</v>
      </c>
      <c r="M10" s="139">
        <f>VLOOKUP(A10,'PYExhD Data'!$A$7:$V$42,13,FALSE)</f>
        <v>17112</v>
      </c>
      <c r="N10" s="142"/>
      <c r="O10" s="139">
        <f>VLOOKUP(A10,'PYExhD Data'!$A$7:$V$42,15,FALSE)</f>
        <v>0</v>
      </c>
      <c r="P10" s="144"/>
      <c r="Q10" s="139">
        <f>VLOOKUP(A10,'PYExhD Data'!$A$7:$V$42,17,FALSE)</f>
        <v>0</v>
      </c>
      <c r="R10" s="142"/>
      <c r="S10" s="142"/>
      <c r="T10" s="139">
        <f>VLOOKUP(A10,'PYExhD Data'!$A$7:$V$42,20,FALSE)</f>
        <v>0</v>
      </c>
      <c r="U10" s="139">
        <f>VLOOKUP(A10,'PYExhD Data'!$A$7:$V$42,21,FALSE)</f>
        <v>0</v>
      </c>
      <c r="V10" s="139">
        <f>VLOOKUP(A10,'PYExhD Data'!$A$7:$V$42,22,FALSE)</f>
        <v>240287</v>
      </c>
      <c r="W10" s="93"/>
      <c r="X10" s="97">
        <f t="shared" ref="X10" si="1">SUM(E10:W10)</f>
        <v>75910425</v>
      </c>
      <c r="Y10" s="116"/>
    </row>
    <row r="11" spans="1:25" ht="13.5" customHeight="1" x14ac:dyDescent="0.25">
      <c r="A11" s="78">
        <v>3310</v>
      </c>
      <c r="B11" s="451">
        <v>115</v>
      </c>
      <c r="C11" s="214" t="s">
        <v>68</v>
      </c>
      <c r="D11" s="90"/>
      <c r="E11" s="142"/>
      <c r="F11" s="139">
        <f>VLOOKUP(A11,'PYExhD Data'!$A$7:$V$42,6,FALSE)</f>
        <v>0</v>
      </c>
      <c r="G11" s="139">
        <f>VLOOKUP(A11,'PYExhD Data'!$A$7:$V$42,7,FALSE)</f>
        <v>0</v>
      </c>
      <c r="H11" s="142"/>
      <c r="I11" s="139">
        <f>VLOOKUP(A11,'PYExhD Data'!$A$7:$V$42,9,FALSE)</f>
        <v>0</v>
      </c>
      <c r="J11" s="139">
        <f>VLOOKUP(A11,'PYExhD Data'!$A$7:$V$42,10,FALSE)</f>
        <v>0</v>
      </c>
      <c r="K11" s="142"/>
      <c r="L11" s="139">
        <f>VLOOKUP(A11,'PYExhD Data'!$A$7:$V$42,12,FALSE)</f>
        <v>0</v>
      </c>
      <c r="M11" s="139">
        <f>VLOOKUP(A11,'PYExhD Data'!$A$7:$V$42,13,FALSE)</f>
        <v>0</v>
      </c>
      <c r="N11" s="142"/>
      <c r="O11" s="139">
        <f>VLOOKUP(A11,'PYExhD Data'!$A$7:$V$42,15,FALSE)</f>
        <v>0</v>
      </c>
      <c r="P11" s="144"/>
      <c r="Q11" s="139">
        <f>VLOOKUP(A11,'PYExhD Data'!$A$7:$V$42,17,FALSE)</f>
        <v>0</v>
      </c>
      <c r="R11" s="142"/>
      <c r="S11" s="142"/>
      <c r="T11" s="139">
        <f>VLOOKUP(A11,'PYExhD Data'!$A$7:$V$42,20,FALSE)</f>
        <v>0</v>
      </c>
      <c r="U11" s="139">
        <f>VLOOKUP(A11,'PYExhD Data'!$A$7:$V$42,21,FALSE)</f>
        <v>0</v>
      </c>
      <c r="V11" s="139">
        <f>VLOOKUP(A11,'PYExhD Data'!$A$7:$V$42,22,FALSE)</f>
        <v>0</v>
      </c>
      <c r="W11" s="93"/>
      <c r="X11" s="97">
        <f t="shared" si="0"/>
        <v>0</v>
      </c>
      <c r="Y11" s="116"/>
    </row>
    <row r="12" spans="1:25" ht="13.5" customHeight="1" x14ac:dyDescent="0.25">
      <c r="A12" s="78">
        <v>3320</v>
      </c>
      <c r="B12" s="451">
        <v>120</v>
      </c>
      <c r="C12" s="214" t="s">
        <v>503</v>
      </c>
      <c r="D12" s="91"/>
      <c r="E12" s="142"/>
      <c r="F12" s="139">
        <f>VLOOKUP(A12,'PYExhD Data'!$A$7:$V$42,6,FALSE)</f>
        <v>368648</v>
      </c>
      <c r="G12" s="139">
        <f>VLOOKUP(A12,'PYExhD Data'!$A$7:$V$42,7,FALSE)</f>
        <v>0</v>
      </c>
      <c r="H12" s="142"/>
      <c r="I12" s="139">
        <f>VLOOKUP(A12,'PYExhD Data'!$A$7:$V$42,9,FALSE)</f>
        <v>1799489</v>
      </c>
      <c r="J12" s="139">
        <f>VLOOKUP(A12,'PYExhD Data'!$A$7:$V$42,10,FALSE)</f>
        <v>157566</v>
      </c>
      <c r="K12" s="142"/>
      <c r="L12" s="139">
        <f>VLOOKUP(A12,'PYExhD Data'!$A$7:$V$42,12,FALSE)</f>
        <v>34761</v>
      </c>
      <c r="M12" s="139">
        <f>VLOOKUP(A12,'PYExhD Data'!$A$7:$V$42,13,FALSE)</f>
        <v>0</v>
      </c>
      <c r="N12" s="142"/>
      <c r="O12" s="139">
        <f>VLOOKUP(A12,'PYExhD Data'!$A$7:$V$42,15,FALSE)</f>
        <v>0</v>
      </c>
      <c r="P12" s="144"/>
      <c r="Q12" s="139">
        <f>VLOOKUP(A12,'PYExhD Data'!$A$7:$V$42,17,FALSE)</f>
        <v>8626</v>
      </c>
      <c r="R12" s="142"/>
      <c r="S12" s="142"/>
      <c r="T12" s="139">
        <f>VLOOKUP(A12,'PYExhD Data'!$A$7:$V$42,20,FALSE)</f>
        <v>10700</v>
      </c>
      <c r="U12" s="139">
        <f>VLOOKUP(A12,'PYExhD Data'!$A$7:$V$42,21,FALSE)</f>
        <v>103631</v>
      </c>
      <c r="V12" s="139">
        <f>VLOOKUP(A12,'PYExhD Data'!$A$7:$V$42,22,FALSE)</f>
        <v>0</v>
      </c>
      <c r="W12" s="93"/>
      <c r="X12" s="97">
        <f t="shared" si="0"/>
        <v>2483421</v>
      </c>
      <c r="Y12" s="116"/>
    </row>
    <row r="13" spans="1:25" ht="13.5" customHeight="1" x14ac:dyDescent="0.25">
      <c r="A13" s="78">
        <v>3340</v>
      </c>
      <c r="B13" s="451">
        <v>125</v>
      </c>
      <c r="C13" s="214" t="s">
        <v>263</v>
      </c>
      <c r="D13" s="92"/>
      <c r="E13" s="142"/>
      <c r="F13" s="139">
        <f>VLOOKUP(A13,'PYExhD Data'!$A$7:$V$42,6,FALSE)</f>
        <v>0</v>
      </c>
      <c r="G13" s="139">
        <f>VLOOKUP(A13,'PYExhD Data'!$A$7:$V$42,7,FALSE)</f>
        <v>0</v>
      </c>
      <c r="H13" s="142"/>
      <c r="I13" s="139">
        <f>VLOOKUP(A13,'PYExhD Data'!$A$7:$V$42,9,FALSE)</f>
        <v>0</v>
      </c>
      <c r="J13" s="139">
        <f>VLOOKUP(A13,'PYExhD Data'!$A$7:$V$42,10,FALSE)</f>
        <v>1664837</v>
      </c>
      <c r="K13" s="142"/>
      <c r="L13" s="139">
        <f>VLOOKUP(A13,'PYExhD Data'!$A$7:$V$42,12,FALSE)</f>
        <v>0</v>
      </c>
      <c r="M13" s="139">
        <f>VLOOKUP(A13,'PYExhD Data'!$A$7:$V$42,13,FALSE)</f>
        <v>0</v>
      </c>
      <c r="N13" s="142"/>
      <c r="O13" s="139">
        <f>VLOOKUP(A13,'PYExhD Data'!$A$7:$V$42,15,FALSE)</f>
        <v>0</v>
      </c>
      <c r="P13" s="144"/>
      <c r="Q13" s="139">
        <f>VLOOKUP(A13,'PYExhD Data'!$A$7:$V$42,17,FALSE)</f>
        <v>0</v>
      </c>
      <c r="R13" s="142"/>
      <c r="S13" s="142"/>
      <c r="T13" s="139">
        <f>VLOOKUP(A13,'PYExhD Data'!$A$7:$V$42,20,FALSE)</f>
        <v>0</v>
      </c>
      <c r="U13" s="139">
        <f>VLOOKUP(A13,'PYExhD Data'!$A$7:$V$42,21,FALSE)</f>
        <v>0</v>
      </c>
      <c r="V13" s="139">
        <f>VLOOKUP(A13,'PYExhD Data'!$A$7:$V$42,22,FALSE)</f>
        <v>0</v>
      </c>
      <c r="W13" s="93"/>
      <c r="X13" s="97">
        <f t="shared" si="0"/>
        <v>1664837</v>
      </c>
      <c r="Y13" s="116"/>
    </row>
    <row r="14" spans="1:25" ht="13.5" customHeight="1" x14ac:dyDescent="0.25">
      <c r="A14" s="78">
        <v>3341</v>
      </c>
      <c r="B14" s="451">
        <v>126</v>
      </c>
      <c r="C14" s="214" t="s">
        <v>504</v>
      </c>
      <c r="D14" s="92"/>
      <c r="E14" s="142"/>
      <c r="F14" s="139">
        <f>VLOOKUP(A14,'PYExhD Data'!$A$7:$V$42,6,FALSE)</f>
        <v>0</v>
      </c>
      <c r="G14" s="139">
        <v>0</v>
      </c>
      <c r="H14" s="142"/>
      <c r="I14" s="139">
        <v>0</v>
      </c>
      <c r="J14" s="139">
        <v>0</v>
      </c>
      <c r="K14" s="142"/>
      <c r="L14" s="139">
        <v>0</v>
      </c>
      <c r="M14" s="139">
        <v>0</v>
      </c>
      <c r="N14" s="142"/>
      <c r="O14" s="139">
        <v>0</v>
      </c>
      <c r="P14" s="144"/>
      <c r="Q14" s="139">
        <v>0</v>
      </c>
      <c r="R14" s="142"/>
      <c r="S14" s="142"/>
      <c r="T14" s="139">
        <v>0</v>
      </c>
      <c r="U14" s="139">
        <v>0</v>
      </c>
      <c r="V14" s="139">
        <v>0</v>
      </c>
      <c r="W14" s="93"/>
      <c r="X14" s="97">
        <f t="shared" si="0"/>
        <v>0</v>
      </c>
      <c r="Y14" s="155"/>
    </row>
    <row r="15" spans="1:25" ht="13.5" customHeight="1" x14ac:dyDescent="0.25">
      <c r="A15" s="78">
        <v>3345</v>
      </c>
      <c r="B15" s="451">
        <v>128</v>
      </c>
      <c r="C15" s="214" t="s">
        <v>505</v>
      </c>
      <c r="D15" s="92"/>
      <c r="E15" s="142"/>
      <c r="F15" s="139">
        <f>VLOOKUP(A15,'PYExhD Data'!$A$7:$V$42,6,FALSE)</f>
        <v>0</v>
      </c>
      <c r="G15" s="139">
        <f>VLOOKUP(A15,'PYExhD Data'!$A$7:$V$42,7,FALSE)</f>
        <v>0</v>
      </c>
      <c r="H15" s="142"/>
      <c r="I15" s="139">
        <f>VLOOKUP(A15,'PYExhD Data'!$A$7:$V$42,9,FALSE)</f>
        <v>0</v>
      </c>
      <c r="J15" s="139">
        <f>VLOOKUP(A15,'PYExhD Data'!$A$7:$V$42,10,FALSE)</f>
        <v>0</v>
      </c>
      <c r="K15" s="142"/>
      <c r="L15" s="139">
        <f>VLOOKUP(A15,'PYExhD Data'!$A$7:$V$42,12,FALSE)</f>
        <v>0</v>
      </c>
      <c r="M15" s="139">
        <f>VLOOKUP(A15,'PYExhD Data'!$A$7:$V$42,13,FALSE)</f>
        <v>0</v>
      </c>
      <c r="N15" s="142"/>
      <c r="O15" s="139">
        <f>VLOOKUP(A15,'PYExhD Data'!$A$7:$V$42,15,FALSE)</f>
        <v>0</v>
      </c>
      <c r="P15" s="144"/>
      <c r="Q15" s="139">
        <f>VLOOKUP(A15,'PYExhD Data'!$A$7:$V$42,17,FALSE)</f>
        <v>27129286</v>
      </c>
      <c r="R15" s="142"/>
      <c r="S15" s="142"/>
      <c r="T15" s="139">
        <f>VLOOKUP(A15,'PYExhD Data'!$A$7:$V$42,20,FALSE)</f>
        <v>0</v>
      </c>
      <c r="U15" s="139">
        <f>VLOOKUP(A15,'PYExhD Data'!$A$7:$V$42,21,FALSE)</f>
        <v>0</v>
      </c>
      <c r="V15" s="139">
        <f>VLOOKUP(A15,'PYExhD Data'!$A$7:$V$42,22,FALSE)</f>
        <v>0</v>
      </c>
      <c r="W15" s="93"/>
      <c r="X15" s="97">
        <f>SUM(E15:W15)</f>
        <v>27129286</v>
      </c>
      <c r="Y15" s="116"/>
    </row>
    <row r="16" spans="1:25" ht="13.5" customHeight="1" x14ac:dyDescent="0.25">
      <c r="A16" s="78">
        <v>3350</v>
      </c>
      <c r="B16" s="451">
        <v>130</v>
      </c>
      <c r="C16" s="214" t="s">
        <v>267</v>
      </c>
      <c r="D16" s="92"/>
      <c r="E16" s="142"/>
      <c r="F16" s="139">
        <f>VLOOKUP(A16,'PYExhD Data'!$A$7:$V$42,6,FALSE)</f>
        <v>0</v>
      </c>
      <c r="G16" s="139">
        <f>VLOOKUP(A16,'PYExhD Data'!$A$7:$V$42,7,FALSE)</f>
        <v>823931612</v>
      </c>
      <c r="H16" s="142"/>
      <c r="I16" s="139">
        <f>VLOOKUP(A16,'PYExhD Data'!$A$7:$V$42,9,FALSE)</f>
        <v>203036200</v>
      </c>
      <c r="J16" s="139">
        <f>VLOOKUP(A16,'PYExhD Data'!$A$7:$V$42,10,FALSE)</f>
        <v>48818664</v>
      </c>
      <c r="K16" s="142"/>
      <c r="L16" s="139">
        <f>VLOOKUP(A16,'PYExhD Data'!$A$7:$V$42,12,FALSE)</f>
        <v>172425660</v>
      </c>
      <c r="M16" s="139">
        <f>VLOOKUP(A16,'PYExhD Data'!$A$7:$V$42,13,FALSE)</f>
        <v>21059301</v>
      </c>
      <c r="N16" s="142"/>
      <c r="O16" s="139">
        <f>VLOOKUP(A16,'PYExhD Data'!$A$7:$V$42,15,FALSE)</f>
        <v>0</v>
      </c>
      <c r="P16" s="144"/>
      <c r="Q16" s="139">
        <f>VLOOKUP(A16,'PYExhD Data'!$A$7:$V$42,17,FALSE)</f>
        <v>43816462</v>
      </c>
      <c r="R16" s="142"/>
      <c r="S16" s="142"/>
      <c r="T16" s="139">
        <f>VLOOKUP(A16,'PYExhD Data'!$A$7:$V$42,20,FALSE)</f>
        <v>39246684</v>
      </c>
      <c r="U16" s="139">
        <f>VLOOKUP(A16,'PYExhD Data'!$A$7:$V$42,21,FALSE)</f>
        <v>88908481</v>
      </c>
      <c r="V16" s="139">
        <f>VLOOKUP(A16,'PYExhD Data'!$A$7:$V$42,22,FALSE)</f>
        <v>22885377</v>
      </c>
      <c r="W16" s="93"/>
      <c r="X16" s="97">
        <f t="shared" si="0"/>
        <v>1464128441</v>
      </c>
      <c r="Y16" s="116"/>
    </row>
    <row r="17" spans="1:25" ht="13.5" customHeight="1" x14ac:dyDescent="0.25">
      <c r="A17" s="78">
        <v>3370</v>
      </c>
      <c r="B17" s="451">
        <v>140</v>
      </c>
      <c r="C17" s="214" t="s">
        <v>268</v>
      </c>
      <c r="D17" s="89"/>
      <c r="E17" s="142"/>
      <c r="F17" s="139">
        <f>VLOOKUP(A17,'PYExhD Data'!$A$7:$V$42,6,FALSE)</f>
        <v>0</v>
      </c>
      <c r="G17" s="139">
        <f>VLOOKUP(A17,'PYExhD Data'!$A$7:$V$42,7,FALSE)</f>
        <v>33626037</v>
      </c>
      <c r="H17" s="142"/>
      <c r="I17" s="139">
        <f>VLOOKUP(A17,'PYExhD Data'!$A$7:$V$42,9,FALSE)</f>
        <v>0</v>
      </c>
      <c r="J17" s="139">
        <f>VLOOKUP(A17,'PYExhD Data'!$A$7:$V$42,10,FALSE)</f>
        <v>795954</v>
      </c>
      <c r="K17" s="142"/>
      <c r="L17" s="139">
        <f>VLOOKUP(A17,'PYExhD Data'!$A$7:$V$42,12,FALSE)</f>
        <v>2332342</v>
      </c>
      <c r="M17" s="139">
        <f>VLOOKUP(A17,'PYExhD Data'!$A$7:$V$42,13,FALSE)</f>
        <v>12573575</v>
      </c>
      <c r="N17" s="142"/>
      <c r="O17" s="139">
        <f>VLOOKUP(A17,'PYExhD Data'!$A$7:$V$42,15,FALSE)</f>
        <v>0</v>
      </c>
      <c r="P17" s="144"/>
      <c r="Q17" s="139">
        <f>VLOOKUP(A17,'PYExhD Data'!$A$7:$V$42,17,FALSE)</f>
        <v>2985534</v>
      </c>
      <c r="R17" s="142"/>
      <c r="S17" s="142"/>
      <c r="T17" s="139">
        <f>VLOOKUP(A17,'PYExhD Data'!$A$7:$V$42,20,FALSE)</f>
        <v>0</v>
      </c>
      <c r="U17" s="139">
        <f>VLOOKUP(A17,'PYExhD Data'!$A$7:$V$42,21,FALSE)</f>
        <v>52442</v>
      </c>
      <c r="V17" s="139">
        <f>VLOOKUP(A17,'PYExhD Data'!$A$7:$V$42,22,FALSE)</f>
        <v>101945</v>
      </c>
      <c r="W17" s="93"/>
      <c r="X17" s="97">
        <f t="shared" si="0"/>
        <v>52467829</v>
      </c>
      <c r="Y17" s="116"/>
    </row>
    <row r="18" spans="1:25" ht="13.5" customHeight="1" x14ac:dyDescent="0.25">
      <c r="A18" s="78">
        <v>3380</v>
      </c>
      <c r="B18" s="451">
        <v>145</v>
      </c>
      <c r="C18" s="214" t="s">
        <v>269</v>
      </c>
      <c r="D18" s="89"/>
      <c r="E18" s="142"/>
      <c r="F18" s="139">
        <f>VLOOKUP(A18,'PYExhD Data'!$A$7:$V$42,6,FALSE)</f>
        <v>7980950</v>
      </c>
      <c r="G18" s="139">
        <f>VLOOKUP(A18,'PYExhD Data'!$A$7:$V$42,7,FALSE)</f>
        <v>5415555</v>
      </c>
      <c r="H18" s="142"/>
      <c r="I18" s="139">
        <f>VLOOKUP(A18,'PYExhD Data'!$A$7:$V$42,9,FALSE)</f>
        <v>106081</v>
      </c>
      <c r="J18" s="139">
        <f>VLOOKUP(A18,'PYExhD Data'!$A$7:$V$42,10,FALSE)</f>
        <v>2046770</v>
      </c>
      <c r="K18" s="142"/>
      <c r="L18" s="139">
        <f>VLOOKUP(A18,'PYExhD Data'!$A$7:$V$42,12,FALSE)</f>
        <v>2868797</v>
      </c>
      <c r="M18" s="139">
        <f>VLOOKUP(A18,'PYExhD Data'!$A$7:$V$42,13,FALSE)</f>
        <v>106437114</v>
      </c>
      <c r="N18" s="142"/>
      <c r="O18" s="139">
        <f>VLOOKUP(A18,'PYExhD Data'!$A$7:$V$42,15,FALSE)</f>
        <v>0</v>
      </c>
      <c r="P18" s="144"/>
      <c r="Q18" s="139">
        <f>VLOOKUP(A18,'PYExhD Data'!$A$7:$V$42,17,FALSE)</f>
        <v>2219135</v>
      </c>
      <c r="R18" s="142"/>
      <c r="S18" s="142"/>
      <c r="T18" s="139">
        <f>VLOOKUP(A18,'PYExhD Data'!$A$7:$V$42,20,FALSE)</f>
        <v>137481</v>
      </c>
      <c r="U18" s="139">
        <f>VLOOKUP(A18,'PYExhD Data'!$A$7:$V$42,21,FALSE)</f>
        <v>325895</v>
      </c>
      <c r="V18" s="139">
        <f>VLOOKUP(A18,'PYExhD Data'!$A$7:$V$42,22,FALSE)</f>
        <v>0</v>
      </c>
      <c r="W18" s="96"/>
      <c r="X18" s="100">
        <f t="shared" si="0"/>
        <v>127537778</v>
      </c>
      <c r="Y18" s="116"/>
    </row>
    <row r="19" spans="1:25" ht="15" customHeight="1" x14ac:dyDescent="0.25">
      <c r="C19" s="1" t="s">
        <v>76</v>
      </c>
      <c r="D19" s="89"/>
      <c r="E19" s="128">
        <f t="shared" ref="E19:V19" si="2">SUM(E7:E18)</f>
        <v>0</v>
      </c>
      <c r="F19" s="128">
        <f t="shared" si="2"/>
        <v>1629993890</v>
      </c>
      <c r="G19" s="128">
        <f t="shared" si="2"/>
        <v>1033972556</v>
      </c>
      <c r="H19" s="128">
        <f t="shared" si="2"/>
        <v>0</v>
      </c>
      <c r="I19" s="128">
        <f t="shared" si="2"/>
        <v>341332723</v>
      </c>
      <c r="J19" s="128">
        <f t="shared" si="2"/>
        <v>61142434</v>
      </c>
      <c r="K19" s="128">
        <f t="shared" si="2"/>
        <v>0</v>
      </c>
      <c r="L19" s="128">
        <f t="shared" si="2"/>
        <v>236878929</v>
      </c>
      <c r="M19" s="128">
        <f t="shared" si="2"/>
        <v>207865499</v>
      </c>
      <c r="N19" s="128">
        <f t="shared" si="2"/>
        <v>0</v>
      </c>
      <c r="O19" s="128">
        <f t="shared" si="2"/>
        <v>0</v>
      </c>
      <c r="P19" s="128">
        <f t="shared" si="2"/>
        <v>0</v>
      </c>
      <c r="Q19" s="128">
        <f t="shared" si="2"/>
        <v>104930929</v>
      </c>
      <c r="R19" s="128">
        <f t="shared" si="2"/>
        <v>0</v>
      </c>
      <c r="S19" s="128">
        <f t="shared" si="2"/>
        <v>0</v>
      </c>
      <c r="T19" s="128">
        <f t="shared" si="2"/>
        <v>54254428</v>
      </c>
      <c r="U19" s="128">
        <f t="shared" si="2"/>
        <v>112184567</v>
      </c>
      <c r="V19" s="128">
        <f t="shared" si="2"/>
        <v>44460004</v>
      </c>
      <c r="W19" s="119"/>
      <c r="X19" s="96">
        <f>SUM(X7:X18)</f>
        <v>3827015959</v>
      </c>
      <c r="Y19" s="116"/>
    </row>
    <row r="20" spans="1:25" ht="10.5" customHeight="1" x14ac:dyDescent="0.25">
      <c r="C20" s="89"/>
      <c r="D20" s="89"/>
      <c r="E20" s="129"/>
      <c r="F20" s="129"/>
      <c r="G20" s="129"/>
      <c r="H20" s="129"/>
      <c r="I20" s="129"/>
      <c r="J20" s="129"/>
      <c r="K20" s="129"/>
      <c r="L20" s="129"/>
      <c r="M20" s="129"/>
      <c r="N20" s="129"/>
      <c r="O20" s="129"/>
      <c r="P20" s="129"/>
      <c r="Q20" s="129"/>
      <c r="R20" s="129"/>
      <c r="S20" s="129"/>
      <c r="T20" s="129"/>
      <c r="U20" s="129"/>
      <c r="V20" s="129"/>
      <c r="W20" s="93"/>
      <c r="Y20" s="116"/>
    </row>
    <row r="21" spans="1:25" ht="15" customHeight="1" x14ac:dyDescent="0.25">
      <c r="C21" s="1" t="s">
        <v>270</v>
      </c>
      <c r="D21" s="89"/>
      <c r="E21" s="129"/>
      <c r="F21" s="129"/>
      <c r="G21" s="129"/>
      <c r="H21" s="129"/>
      <c r="I21" s="129"/>
      <c r="J21" s="129"/>
      <c r="K21" s="129"/>
      <c r="L21" s="129"/>
      <c r="M21" s="129"/>
      <c r="N21" s="129"/>
      <c r="O21" s="129"/>
      <c r="P21" s="129"/>
      <c r="Q21" s="129"/>
      <c r="R21" s="129"/>
      <c r="S21" s="129"/>
      <c r="T21" s="129"/>
      <c r="U21" s="129"/>
      <c r="V21" s="129"/>
      <c r="W21" s="93"/>
      <c r="X21" s="93"/>
      <c r="Y21" s="116"/>
    </row>
    <row r="22" spans="1:25" ht="13.5" customHeight="1" x14ac:dyDescent="0.25">
      <c r="A22" s="78">
        <v>3430</v>
      </c>
      <c r="B22" s="33">
        <v>200</v>
      </c>
      <c r="C22" s="214" t="s">
        <v>271</v>
      </c>
      <c r="D22" s="89"/>
      <c r="E22" s="142"/>
      <c r="F22" s="139">
        <f>VLOOKUP(A22,'PYExhD Data'!$A$7:$V$42,6,FALSE)</f>
        <v>3245367</v>
      </c>
      <c r="G22" s="139">
        <f>VLOOKUP(A22,'PYExhD Data'!$A$7:$V$42,7,FALSE)</f>
        <v>714833</v>
      </c>
      <c r="H22" s="142"/>
      <c r="I22" s="139">
        <f>VLOOKUP(A22,'PYExhD Data'!$A$7:$V$42,9,FALSE)</f>
        <v>4940</v>
      </c>
      <c r="J22" s="139">
        <f>VLOOKUP(A22,'PYExhD Data'!$A$7:$V$42,10,FALSE)</f>
        <v>400144</v>
      </c>
      <c r="K22" s="142"/>
      <c r="L22" s="139">
        <f>VLOOKUP(A22,'PYExhD Data'!$A$7:$V$42,12,FALSE)</f>
        <v>108102</v>
      </c>
      <c r="M22" s="139">
        <f>VLOOKUP(A22,'PYExhD Data'!$A$7:$V$42,13,FALSE)</f>
        <v>1756375</v>
      </c>
      <c r="N22" s="142"/>
      <c r="O22" s="139">
        <f>VLOOKUP(A22,'PYExhD Data'!$A$7:$V$42,15,FALSE)</f>
        <v>0</v>
      </c>
      <c r="P22" s="144"/>
      <c r="Q22" s="139">
        <f>VLOOKUP(A22,'PYExhD Data'!$A$7:$V$42,17,FALSE)</f>
        <v>312341</v>
      </c>
      <c r="R22" s="142"/>
      <c r="S22" s="142"/>
      <c r="T22" s="139">
        <f>VLOOKUP(A22,'PYExhD Data'!$A$7:$V$42,20,FALSE)</f>
        <v>373359</v>
      </c>
      <c r="U22" s="139">
        <f>VLOOKUP(A22,'PYExhD Data'!$A$7:$V$42,21,FALSE)</f>
        <v>147368</v>
      </c>
      <c r="V22" s="139">
        <f>VLOOKUP(A22,'PYExhD Data'!$A$7:$V$42,22,FALSE)</f>
        <v>55487</v>
      </c>
      <c r="W22" s="93"/>
      <c r="X22" s="97">
        <f t="shared" ref="X22:X31" si="3">SUM(E22:W22)</f>
        <v>7118316</v>
      </c>
      <c r="Y22" s="116"/>
    </row>
    <row r="23" spans="1:25" ht="15" customHeight="1" x14ac:dyDescent="0.25">
      <c r="A23" s="78">
        <v>3432</v>
      </c>
      <c r="B23" s="133">
        <v>202</v>
      </c>
      <c r="C23" s="134" t="s">
        <v>506</v>
      </c>
      <c r="D23" s="148"/>
      <c r="E23" s="142"/>
      <c r="F23" s="139">
        <f>VLOOKUP(A23,'PYExhD Data'!$A$7:$V$42,6,FALSE)</f>
        <v>0</v>
      </c>
      <c r="G23" s="139">
        <f>VLOOKUP(A23,'PYExhD Data'!$A$7:$V$42,7,FALSE)</f>
        <v>0</v>
      </c>
      <c r="H23" s="142"/>
      <c r="I23" s="139">
        <f>VLOOKUP(A23,'PYExhD Data'!$A$7:$V$42,9,FALSE)</f>
        <v>0</v>
      </c>
      <c r="J23" s="139">
        <f>VLOOKUP(A23,'PYExhD Data'!$A$7:$V$42,10,FALSE)</f>
        <v>0</v>
      </c>
      <c r="K23" s="142"/>
      <c r="L23" s="139">
        <f>VLOOKUP(A23,'PYExhD Data'!$A$7:$V$42,12,FALSE)</f>
        <v>625247</v>
      </c>
      <c r="M23" s="139">
        <f>VLOOKUP(A23,'PYExhD Data'!$A$7:$V$42,13,FALSE)</f>
        <v>2461014</v>
      </c>
      <c r="N23" s="142"/>
      <c r="O23" s="139">
        <f>VLOOKUP(A23,'PYExhD Data'!$A$7:$V$42,15,FALSE)</f>
        <v>0</v>
      </c>
      <c r="P23" s="144"/>
      <c r="Q23" s="139">
        <f>VLOOKUP(A23,'PYExhD Data'!$A$7:$V$42,17,FALSE)</f>
        <v>0</v>
      </c>
      <c r="R23" s="142"/>
      <c r="S23" s="142"/>
      <c r="T23" s="139">
        <f>VLOOKUP(A23,'PYExhD Data'!$A$7:$V$42,20,FALSE)</f>
        <v>0</v>
      </c>
      <c r="U23" s="139">
        <f>VLOOKUP(A23,'PYExhD Data'!$A$7:$V$42,21,FALSE)</f>
        <v>35510</v>
      </c>
      <c r="V23" s="139">
        <f>VLOOKUP(A23,'PYExhD Data'!$A$7:$V$42,22,FALSE)</f>
        <v>1508933</v>
      </c>
      <c r="W23" s="121"/>
      <c r="X23" s="101">
        <f t="shared" si="3"/>
        <v>4630704</v>
      </c>
      <c r="Y23" s="116"/>
    </row>
    <row r="24" spans="1:25" ht="14.25" customHeight="1" x14ac:dyDescent="0.25">
      <c r="A24" s="78">
        <v>3434</v>
      </c>
      <c r="B24" s="133">
        <v>203</v>
      </c>
      <c r="C24" s="135" t="s">
        <v>507</v>
      </c>
      <c r="D24" s="94"/>
      <c r="E24" s="142"/>
      <c r="F24" s="139">
        <f>VLOOKUP(A24,'PYExhD Data'!$A$7:$V$42,6,FALSE)</f>
        <v>0</v>
      </c>
      <c r="G24" s="139">
        <f>VLOOKUP(A24,'PYExhD Data'!$A$7:$V$42,7,FALSE)</f>
        <v>0</v>
      </c>
      <c r="H24" s="142"/>
      <c r="I24" s="139">
        <f>VLOOKUP(A24,'PYExhD Data'!$A$7:$V$42,9,FALSE)</f>
        <v>0</v>
      </c>
      <c r="J24" s="139">
        <f>VLOOKUP(A24,'PYExhD Data'!$A$7:$V$42,10,FALSE)</f>
        <v>0</v>
      </c>
      <c r="K24" s="142"/>
      <c r="L24" s="139">
        <f>VLOOKUP(A24,'PYExhD Data'!$A$7:$V$42,12,FALSE)</f>
        <v>0</v>
      </c>
      <c r="M24" s="139">
        <f>VLOOKUP(A24,'PYExhD Data'!$A$7:$V$42,13,FALSE)</f>
        <v>0</v>
      </c>
      <c r="N24" s="142"/>
      <c r="O24" s="139">
        <f>VLOOKUP(A24,'PYExhD Data'!$A$7:$V$42,15,FALSE)</f>
        <v>0</v>
      </c>
      <c r="P24" s="144"/>
      <c r="Q24" s="139">
        <f>VLOOKUP(A24,'PYExhD Data'!$A$7:$V$42,17,FALSE)</f>
        <v>0</v>
      </c>
      <c r="R24" s="142"/>
      <c r="S24" s="142"/>
      <c r="T24" s="139">
        <f>VLOOKUP(A24,'PYExhD Data'!$A$7:$V$42,20,FALSE)</f>
        <v>0</v>
      </c>
      <c r="U24" s="139">
        <f>VLOOKUP(A24,'PYExhD Data'!$A$7:$V$42,21,FALSE)</f>
        <v>0</v>
      </c>
      <c r="V24" s="139">
        <f>VLOOKUP(A24,'PYExhD Data'!$A$7:$V$42,22,FALSE)</f>
        <v>0</v>
      </c>
      <c r="W24" s="121"/>
      <c r="X24" s="101">
        <f t="shared" si="3"/>
        <v>0</v>
      </c>
      <c r="Y24" s="116"/>
    </row>
    <row r="25" spans="1:25" ht="13.5" customHeight="1" x14ac:dyDescent="0.25">
      <c r="A25" s="78">
        <v>3500</v>
      </c>
      <c r="B25" s="33">
        <v>205</v>
      </c>
      <c r="C25" s="214" t="s">
        <v>81</v>
      </c>
      <c r="D25" s="95"/>
      <c r="E25" s="142"/>
      <c r="F25" s="139">
        <f>VLOOKUP(A25,'PYExhD Data'!$A$7:$V$42,6,FALSE)</f>
        <v>0</v>
      </c>
      <c r="G25" s="139">
        <f>VLOOKUP(A25,'PYExhD Data'!$A$7:$V$42,7,FALSE)</f>
        <v>12114284</v>
      </c>
      <c r="H25" s="142"/>
      <c r="I25" s="139">
        <f>VLOOKUP(A25,'PYExhD Data'!$A$7:$V$42,9,FALSE)</f>
        <v>2434501</v>
      </c>
      <c r="J25" s="139">
        <f>VLOOKUP(A25,'PYExhD Data'!$A$7:$V$42,10,FALSE)</f>
        <v>83495</v>
      </c>
      <c r="K25" s="142"/>
      <c r="L25" s="139">
        <f>VLOOKUP(A25,'PYExhD Data'!$A$7:$V$42,12,FALSE)</f>
        <v>51418</v>
      </c>
      <c r="M25" s="139">
        <f>VLOOKUP(A25,'PYExhD Data'!$A$7:$V$42,13,FALSE)</f>
        <v>0</v>
      </c>
      <c r="N25" s="142"/>
      <c r="O25" s="139">
        <f>VLOOKUP(A25,'PYExhD Data'!$A$7:$V$42,15,FALSE)</f>
        <v>0</v>
      </c>
      <c r="P25" s="144"/>
      <c r="Q25" s="139">
        <f>VLOOKUP(A25,'PYExhD Data'!$A$7:$V$42,17,FALSE)</f>
        <v>0</v>
      </c>
      <c r="R25" s="142"/>
      <c r="S25" s="142"/>
      <c r="T25" s="139">
        <f>VLOOKUP(A25,'PYExhD Data'!$A$7:$V$42,20,FALSE)</f>
        <v>0</v>
      </c>
      <c r="U25" s="139">
        <f>VLOOKUP(A25,'PYExhD Data'!$A$7:$V$42,21,FALSE)</f>
        <v>0</v>
      </c>
      <c r="V25" s="139">
        <f>VLOOKUP(A25,'PYExhD Data'!$A$7:$V$42,22,FALSE)</f>
        <v>0</v>
      </c>
      <c r="W25" s="93"/>
      <c r="X25" s="97">
        <f t="shared" si="3"/>
        <v>14683698</v>
      </c>
      <c r="Y25" s="116"/>
    </row>
    <row r="26" spans="1:25" ht="13.5" customHeight="1" x14ac:dyDescent="0.25">
      <c r="A26" s="78">
        <v>3550</v>
      </c>
      <c r="B26" s="33">
        <v>210</v>
      </c>
      <c r="C26" s="214" t="s">
        <v>82</v>
      </c>
      <c r="D26" s="89"/>
      <c r="E26" s="142"/>
      <c r="F26" s="139">
        <f>VLOOKUP(A26,'PYExhD Data'!$A$7:$V$42,6,FALSE)</f>
        <v>0</v>
      </c>
      <c r="G26" s="139">
        <f>VLOOKUP(A26,'PYExhD Data'!$A$7:$V$42,7,FALSE)</f>
        <v>0</v>
      </c>
      <c r="H26" s="142"/>
      <c r="I26" s="139">
        <f>VLOOKUP(A26,'PYExhD Data'!$A$7:$V$42,9,FALSE)</f>
        <v>858447</v>
      </c>
      <c r="J26" s="139">
        <f>VLOOKUP(A26,'PYExhD Data'!$A$7:$V$42,10,FALSE)</f>
        <v>0</v>
      </c>
      <c r="K26" s="142"/>
      <c r="L26" s="139">
        <f>VLOOKUP(A26,'PYExhD Data'!$A$7:$V$42,12,FALSE)</f>
        <v>0</v>
      </c>
      <c r="M26" s="139">
        <f>VLOOKUP(A26,'PYExhD Data'!$A$7:$V$42,13,FALSE)</f>
        <v>0</v>
      </c>
      <c r="N26" s="142"/>
      <c r="O26" s="139">
        <f>VLOOKUP(A26,'PYExhD Data'!$A$7:$V$42,15,FALSE)</f>
        <v>0</v>
      </c>
      <c r="P26" s="144"/>
      <c r="Q26" s="139">
        <f>VLOOKUP(A26,'PYExhD Data'!$A$7:$V$42,17,FALSE)</f>
        <v>0</v>
      </c>
      <c r="R26" s="142"/>
      <c r="S26" s="142"/>
      <c r="T26" s="139">
        <f>VLOOKUP(A26,'PYExhD Data'!$A$7:$V$42,20,FALSE)</f>
        <v>0</v>
      </c>
      <c r="U26" s="139">
        <f>VLOOKUP(A26,'PYExhD Data'!$A$7:$V$42,21,FALSE)</f>
        <v>0</v>
      </c>
      <c r="V26" s="139">
        <f>VLOOKUP(A26,'PYExhD Data'!$A$7:$V$42,22,FALSE)</f>
        <v>0</v>
      </c>
      <c r="W26" s="122"/>
      <c r="X26" s="97">
        <f t="shared" si="3"/>
        <v>858447</v>
      </c>
      <c r="Y26" s="116"/>
    </row>
    <row r="27" spans="1:25" ht="13.5" customHeight="1" x14ac:dyDescent="0.25">
      <c r="A27" s="78">
        <v>3530</v>
      </c>
      <c r="B27" s="33">
        <v>215</v>
      </c>
      <c r="C27" s="214" t="s">
        <v>83</v>
      </c>
      <c r="D27" s="89"/>
      <c r="E27" s="142"/>
      <c r="F27" s="139">
        <f>VLOOKUP(A27,'PYExhD Data'!$A$7:$V$42,6,FALSE)</f>
        <v>0</v>
      </c>
      <c r="G27" s="139">
        <f>VLOOKUP(A27,'PYExhD Data'!$A$7:$V$42,7,FALSE)</f>
        <v>0</v>
      </c>
      <c r="H27" s="142"/>
      <c r="I27" s="139">
        <f>VLOOKUP(A27,'PYExhD Data'!$A$7:$V$42,9,FALSE)</f>
        <v>0</v>
      </c>
      <c r="J27" s="139">
        <f>VLOOKUP(A27,'PYExhD Data'!$A$7:$V$42,10,FALSE)</f>
        <v>0</v>
      </c>
      <c r="K27" s="142"/>
      <c r="L27" s="139">
        <f>VLOOKUP(A27,'PYExhD Data'!$A$7:$V$42,12,FALSE)</f>
        <v>0</v>
      </c>
      <c r="M27" s="139">
        <f>VLOOKUP(A27,'PYExhD Data'!$A$7:$V$42,13,FALSE)</f>
        <v>0</v>
      </c>
      <c r="N27" s="142"/>
      <c r="O27" s="139">
        <f>VLOOKUP(A27,'PYExhD Data'!$A$7:$V$42,15,FALSE)</f>
        <v>0</v>
      </c>
      <c r="P27" s="144"/>
      <c r="Q27" s="139">
        <f>VLOOKUP(A27,'PYExhD Data'!$A$7:$V$42,17,FALSE)</f>
        <v>0</v>
      </c>
      <c r="R27" s="142"/>
      <c r="S27" s="142"/>
      <c r="T27" s="139">
        <f>VLOOKUP(A27,'PYExhD Data'!$A$7:$V$42,20,FALSE)</f>
        <v>0</v>
      </c>
      <c r="U27" s="139">
        <f>VLOOKUP(A27,'PYExhD Data'!$A$7:$V$42,21,FALSE)</f>
        <v>0</v>
      </c>
      <c r="V27" s="139">
        <f>VLOOKUP(A27,'PYExhD Data'!$A$7:$V$42,22,FALSE)</f>
        <v>0</v>
      </c>
      <c r="W27" s="122"/>
      <c r="X27" s="97">
        <f t="shared" si="3"/>
        <v>0</v>
      </c>
      <c r="Y27" s="116"/>
    </row>
    <row r="28" spans="1:25" ht="13.5" customHeight="1" x14ac:dyDescent="0.25">
      <c r="A28" s="78">
        <v>3540</v>
      </c>
      <c r="B28" s="33">
        <v>220</v>
      </c>
      <c r="C28" s="214" t="s">
        <v>84</v>
      </c>
      <c r="D28" s="89"/>
      <c r="E28" s="142"/>
      <c r="F28" s="139">
        <f>VLOOKUP(A28,'PYExhD Data'!$A$7:$V$42,6,FALSE)</f>
        <v>0</v>
      </c>
      <c r="G28" s="139">
        <f>VLOOKUP(A28,'PYExhD Data'!$A$7:$V$42,7,FALSE)</f>
        <v>252589</v>
      </c>
      <c r="H28" s="142"/>
      <c r="I28" s="139">
        <f>VLOOKUP(A28,'PYExhD Data'!$A$7:$V$42,9,FALSE)</f>
        <v>69563</v>
      </c>
      <c r="J28" s="139">
        <f>VLOOKUP(A28,'PYExhD Data'!$A$7:$V$42,10,FALSE)</f>
        <v>0</v>
      </c>
      <c r="K28" s="142"/>
      <c r="L28" s="139">
        <f>VLOOKUP(A28,'PYExhD Data'!$A$7:$V$42,12,FALSE)</f>
        <v>0</v>
      </c>
      <c r="M28" s="139">
        <f>VLOOKUP(A28,'PYExhD Data'!$A$7:$V$42,13,FALSE)</f>
        <v>2530325</v>
      </c>
      <c r="N28" s="142"/>
      <c r="O28" s="139">
        <f>VLOOKUP(A28,'PYExhD Data'!$A$7:$V$42,15,FALSE)</f>
        <v>0</v>
      </c>
      <c r="P28" s="144"/>
      <c r="Q28" s="139">
        <f>VLOOKUP(A28,'PYExhD Data'!$A$7:$V$42,17,FALSE)</f>
        <v>0</v>
      </c>
      <c r="R28" s="142"/>
      <c r="S28" s="142"/>
      <c r="T28" s="139">
        <f>VLOOKUP(A28,'PYExhD Data'!$A$7:$V$42,20,FALSE)</f>
        <v>236222</v>
      </c>
      <c r="U28" s="139">
        <f>VLOOKUP(A28,'PYExhD Data'!$A$7:$V$42,21,FALSE)</f>
        <v>0</v>
      </c>
      <c r="V28" s="139">
        <f>VLOOKUP(A28,'PYExhD Data'!$A$7:$V$42,22,FALSE)</f>
        <v>0</v>
      </c>
      <c r="W28" s="122"/>
      <c r="X28" s="97">
        <f t="shared" si="3"/>
        <v>3088699</v>
      </c>
      <c r="Y28" s="116"/>
    </row>
    <row r="29" spans="1:25" ht="13.5" customHeight="1" x14ac:dyDescent="0.25">
      <c r="B29" s="33"/>
      <c r="C29" s="214" t="s">
        <v>275</v>
      </c>
      <c r="D29" s="89"/>
      <c r="E29" s="142"/>
      <c r="F29" s="139"/>
      <c r="G29" s="139"/>
      <c r="H29" s="142"/>
      <c r="I29" s="139"/>
      <c r="J29" s="139"/>
      <c r="K29" s="142"/>
      <c r="L29" s="139"/>
      <c r="M29" s="139"/>
      <c r="N29" s="142"/>
      <c r="O29" s="139"/>
      <c r="P29" s="144"/>
      <c r="Q29" s="139"/>
      <c r="R29" s="142"/>
      <c r="S29" s="142"/>
      <c r="T29" s="139"/>
      <c r="U29" s="139"/>
      <c r="V29" s="139"/>
      <c r="W29" s="122"/>
      <c r="X29" s="97">
        <f>SUM(E29:W29)</f>
        <v>0</v>
      </c>
      <c r="Y29" s="116"/>
    </row>
    <row r="30" spans="1:25" ht="13.5" customHeight="1" x14ac:dyDescent="0.25">
      <c r="A30" s="78">
        <v>3570</v>
      </c>
      <c r="B30" s="33">
        <v>260</v>
      </c>
      <c r="C30" s="245" t="s">
        <v>276</v>
      </c>
      <c r="D30" s="89"/>
      <c r="E30" s="142"/>
      <c r="F30" s="139">
        <f>VLOOKUP(A30,'PYExhD Data'!$A$7:$V$42,6,FALSE)</f>
        <v>716696</v>
      </c>
      <c r="G30" s="139">
        <f>VLOOKUP(A30,'PYExhD Data'!$A$7:$V$42,7,FALSE)</f>
        <v>1060225</v>
      </c>
      <c r="H30" s="142"/>
      <c r="I30" s="139">
        <f>VLOOKUP(A30,'PYExhD Data'!$A$7:$V$42,9,FALSE)</f>
        <v>85478</v>
      </c>
      <c r="J30" s="139">
        <f>VLOOKUP(A30,'PYExhD Data'!$A$7:$V$42,10,FALSE)</f>
        <v>3426422</v>
      </c>
      <c r="K30" s="142"/>
      <c r="L30" s="139">
        <f>VLOOKUP(A30,'PYExhD Data'!$A$7:$V$42,12,FALSE)</f>
        <v>166645</v>
      </c>
      <c r="M30" s="139">
        <f>VLOOKUP(A30,'PYExhD Data'!$A$7:$V$42,13,FALSE)</f>
        <v>28292228</v>
      </c>
      <c r="N30" s="142"/>
      <c r="O30" s="139">
        <f>VLOOKUP(A30,'PYExhD Data'!$A$7:$V$42,15,FALSE)</f>
        <v>0</v>
      </c>
      <c r="P30" s="144"/>
      <c r="Q30" s="139">
        <f>VLOOKUP(A30,'PYExhD Data'!$A$7:$V$42,17,FALSE)</f>
        <v>0</v>
      </c>
      <c r="R30" s="142"/>
      <c r="S30" s="142"/>
      <c r="T30" s="139">
        <f>VLOOKUP(A30,'PYExhD Data'!$A$7:$V$42,20,FALSE)</f>
        <v>0</v>
      </c>
      <c r="U30" s="139">
        <f>VLOOKUP(A30,'PYExhD Data'!$A$7:$V$42,21,FALSE)</f>
        <v>0</v>
      </c>
      <c r="V30" s="139">
        <f>VLOOKUP(A30,'PYExhD Data'!$A$7:$V$42,22,FALSE)</f>
        <v>0</v>
      </c>
      <c r="W30" s="122"/>
      <c r="X30" s="97">
        <f t="shared" si="3"/>
        <v>33747694</v>
      </c>
      <c r="Y30" s="116"/>
    </row>
    <row r="31" spans="1:25" ht="13.5" customHeight="1" x14ac:dyDescent="0.25">
      <c r="A31" s="78">
        <v>3580</v>
      </c>
      <c r="B31" s="33">
        <v>261</v>
      </c>
      <c r="C31" s="245" t="s">
        <v>278</v>
      </c>
      <c r="D31" s="89"/>
      <c r="E31" s="143"/>
      <c r="F31" s="140">
        <f>VLOOKUP(A31,'PYExhD Data'!$A$7:$V$42,6,FALSE)</f>
        <v>3554561</v>
      </c>
      <c r="G31" s="140">
        <f>VLOOKUP(A31,'PYExhD Data'!$A$7:$V$42,7,FALSE)</f>
        <v>11882027</v>
      </c>
      <c r="H31" s="143"/>
      <c r="I31" s="140">
        <f>VLOOKUP(A31,'PYExhD Data'!$A$7:$V$42,9,FALSE)</f>
        <v>65965184</v>
      </c>
      <c r="J31" s="140">
        <f>VLOOKUP(A31,'PYExhD Data'!$A$7:$V$42,10,FALSE)</f>
        <v>848705</v>
      </c>
      <c r="K31" s="143"/>
      <c r="L31" s="140">
        <f>VLOOKUP(A31,'PYExhD Data'!$A$7:$V$42,12,FALSE)</f>
        <v>2281432</v>
      </c>
      <c r="M31" s="140">
        <f>VLOOKUP(A31,'PYExhD Data'!$A$7:$V$42,13,FALSE)</f>
        <v>110223785</v>
      </c>
      <c r="N31" s="143"/>
      <c r="O31" s="140">
        <f>VLOOKUP(A31,'PYExhD Data'!$A$7:$V$42,15,FALSE)</f>
        <v>0</v>
      </c>
      <c r="P31" s="145"/>
      <c r="Q31" s="140">
        <f>VLOOKUP(A31,'PYExhD Data'!$A$7:$V$42,17,FALSE)</f>
        <v>28128387</v>
      </c>
      <c r="R31" s="143"/>
      <c r="S31" s="143"/>
      <c r="T31" s="140">
        <f>VLOOKUP(A31,'PYExhD Data'!$A$7:$V$42,20,FALSE)</f>
        <v>0</v>
      </c>
      <c r="U31" s="140">
        <f>VLOOKUP(A31,'PYExhD Data'!$A$7:$V$42,21,FALSE)</f>
        <v>0</v>
      </c>
      <c r="V31" s="140">
        <f>VLOOKUP(A31,'PYExhD Data'!$A$7:$V$42,22,FALSE)</f>
        <v>0</v>
      </c>
      <c r="W31" s="123"/>
      <c r="X31" s="100">
        <f t="shared" si="3"/>
        <v>222884081</v>
      </c>
      <c r="Y31" s="116"/>
    </row>
    <row r="32" spans="1:25" ht="18" customHeight="1" x14ac:dyDescent="0.25">
      <c r="C32" s="1" t="s">
        <v>92</v>
      </c>
      <c r="D32" s="79"/>
      <c r="E32" s="130">
        <f t="shared" ref="E32:U32" si="4">SUM(E22:E31)</f>
        <v>0</v>
      </c>
      <c r="F32" s="130">
        <f t="shared" si="4"/>
        <v>7516624</v>
      </c>
      <c r="G32" s="130">
        <f t="shared" si="4"/>
        <v>26023958</v>
      </c>
      <c r="H32" s="130">
        <f t="shared" si="4"/>
        <v>0</v>
      </c>
      <c r="I32" s="130">
        <f t="shared" si="4"/>
        <v>69418113</v>
      </c>
      <c r="J32" s="130">
        <f t="shared" si="4"/>
        <v>4758766</v>
      </c>
      <c r="K32" s="130">
        <f t="shared" si="4"/>
        <v>0</v>
      </c>
      <c r="L32" s="130">
        <f t="shared" si="4"/>
        <v>3232844</v>
      </c>
      <c r="M32" s="130">
        <f t="shared" si="4"/>
        <v>145263727</v>
      </c>
      <c r="N32" s="130">
        <f t="shared" si="4"/>
        <v>0</v>
      </c>
      <c r="O32" s="130">
        <f t="shared" si="4"/>
        <v>0</v>
      </c>
      <c r="P32" s="130">
        <f t="shared" si="4"/>
        <v>0</v>
      </c>
      <c r="Q32" s="130">
        <f t="shared" si="4"/>
        <v>28440728</v>
      </c>
      <c r="R32" s="130">
        <f t="shared" si="4"/>
        <v>0</v>
      </c>
      <c r="S32" s="130">
        <f t="shared" si="4"/>
        <v>0</v>
      </c>
      <c r="T32" s="130">
        <f t="shared" si="4"/>
        <v>609581</v>
      </c>
      <c r="U32" s="130">
        <f t="shared" si="4"/>
        <v>182878</v>
      </c>
      <c r="V32" s="130">
        <f>SUM(V22:V31)</f>
        <v>1564420</v>
      </c>
      <c r="W32" s="96"/>
      <c r="X32" s="96">
        <f>SUM(X22:X31)</f>
        <v>287011639</v>
      </c>
      <c r="Y32" s="116"/>
    </row>
    <row r="33" spans="1:25" ht="10.5" customHeight="1" x14ac:dyDescent="0.25">
      <c r="C33" s="89"/>
      <c r="D33" s="92"/>
      <c r="E33" s="129"/>
      <c r="F33" s="129"/>
      <c r="G33" s="129"/>
      <c r="H33" s="129"/>
      <c r="I33" s="129"/>
      <c r="J33" s="129"/>
      <c r="K33" s="129"/>
      <c r="L33" s="129"/>
      <c r="M33" s="129"/>
      <c r="N33" s="129"/>
      <c r="O33" s="129"/>
      <c r="P33" s="129"/>
      <c r="Q33" s="129"/>
      <c r="R33" s="129"/>
      <c r="S33" s="129"/>
      <c r="T33" s="129"/>
      <c r="U33" s="129"/>
      <c r="V33" s="129"/>
      <c r="W33" s="93"/>
      <c r="Y33" s="116"/>
    </row>
    <row r="34" spans="1:25" ht="14.25" customHeight="1" x14ac:dyDescent="0.25">
      <c r="C34" s="1" t="s">
        <v>508</v>
      </c>
      <c r="D34" s="92"/>
      <c r="E34" s="129"/>
      <c r="F34" s="129"/>
      <c r="G34" s="129"/>
      <c r="H34" s="129"/>
      <c r="I34" s="129"/>
      <c r="J34" s="129"/>
      <c r="K34" s="129"/>
      <c r="L34" s="129"/>
      <c r="M34" s="129"/>
      <c r="N34" s="129"/>
      <c r="O34" s="129"/>
      <c r="P34" s="129"/>
      <c r="Q34" s="129"/>
      <c r="R34" s="129"/>
      <c r="S34" s="129"/>
      <c r="T34" s="129"/>
      <c r="U34" s="129"/>
      <c r="V34" s="129"/>
      <c r="W34" s="93"/>
      <c r="Y34" s="116"/>
    </row>
    <row r="35" spans="1:25" ht="13.5" customHeight="1" x14ac:dyDescent="0.25">
      <c r="A35" s="78">
        <v>3630</v>
      </c>
      <c r="C35" s="151" t="s">
        <v>509</v>
      </c>
      <c r="D35" s="92"/>
      <c r="E35" s="142"/>
      <c r="F35" s="139">
        <f>VLOOKUP(A35,'PYExhD Data'!$A$7:$V$42,6,FALSE)</f>
        <v>3754343</v>
      </c>
      <c r="G35" s="139">
        <f>VLOOKUP(A35,'PYExhD Data'!$A$7:$V$42,7,FALSE)</f>
        <v>39041592</v>
      </c>
      <c r="H35" s="142"/>
      <c r="I35" s="139">
        <f>VLOOKUP(A35,'PYExhD Data'!$A$7:$V$42,9,FALSE)</f>
        <v>29449</v>
      </c>
      <c r="J35" s="139">
        <f>VLOOKUP(A35,'PYExhD Data'!$A$7:$V$42,10,FALSE)</f>
        <v>698520</v>
      </c>
      <c r="K35" s="142"/>
      <c r="L35" s="139">
        <f>VLOOKUP(A35,'PYExhD Data'!$A$7:$V$42,12,FALSE)</f>
        <v>5201139</v>
      </c>
      <c r="M35" s="139">
        <f>VLOOKUP(A35,'PYExhD Data'!$A$7:$V$42,13,FALSE)</f>
        <v>1737728</v>
      </c>
      <c r="N35" s="142"/>
      <c r="O35" s="139">
        <f>VLOOKUP(A35,'PYExhD Data'!$A$7:$V$42,15,FALSE)</f>
        <v>0</v>
      </c>
      <c r="P35" s="144"/>
      <c r="Q35" s="139">
        <f>VLOOKUP(A35,'PYExhD Data'!$A$7:$V$42,17,FALSE)</f>
        <v>5204669</v>
      </c>
      <c r="R35" s="142"/>
      <c r="S35" s="142"/>
      <c r="T35" s="139">
        <f>VLOOKUP(A35,'PYExhD Data'!$A$7:$V$42,20,FALSE)</f>
        <v>137481</v>
      </c>
      <c r="U35" s="139">
        <f>VLOOKUP(A35,'PYExhD Data'!$A$7:$V$42,21,FALSE)</f>
        <v>378337</v>
      </c>
      <c r="V35" s="139">
        <f>VLOOKUP(A35,'PYExhD Data'!$A$7:$V$42,22,FALSE)</f>
        <v>101945</v>
      </c>
      <c r="W35" s="93"/>
      <c r="X35" s="97">
        <f t="shared" ref="X35:X41" si="5">SUM(E35:W35)</f>
        <v>56285203</v>
      </c>
      <c r="Y35" s="116"/>
    </row>
    <row r="36" spans="1:25" ht="13.5" customHeight="1" x14ac:dyDescent="0.25">
      <c r="C36" s="151" t="s">
        <v>284</v>
      </c>
      <c r="D36" s="92"/>
      <c r="E36" s="142"/>
      <c r="F36" s="139"/>
      <c r="G36" s="139"/>
      <c r="H36" s="142"/>
      <c r="I36" s="139"/>
      <c r="J36" s="139"/>
      <c r="K36" s="142"/>
      <c r="L36" s="139"/>
      <c r="M36" s="139"/>
      <c r="N36" s="142"/>
      <c r="O36" s="139"/>
      <c r="P36" s="144"/>
      <c r="Q36" s="139"/>
      <c r="R36" s="142"/>
      <c r="S36" s="142"/>
      <c r="T36" s="139"/>
      <c r="U36" s="139"/>
      <c r="V36" s="139"/>
      <c r="W36" s="93"/>
      <c r="X36" s="97">
        <f t="shared" si="5"/>
        <v>0</v>
      </c>
      <c r="Y36" s="116"/>
    </row>
    <row r="37" spans="1:25" ht="13.5" customHeight="1" x14ac:dyDescent="0.25">
      <c r="C37" s="214" t="s">
        <v>285</v>
      </c>
      <c r="D37" s="89"/>
      <c r="E37" s="142"/>
      <c r="F37" s="139"/>
      <c r="G37" s="139"/>
      <c r="H37" s="142"/>
      <c r="I37" s="139"/>
      <c r="J37" s="139"/>
      <c r="K37" s="142"/>
      <c r="L37" s="139"/>
      <c r="M37" s="139"/>
      <c r="N37" s="142"/>
      <c r="O37" s="139"/>
      <c r="P37" s="144"/>
      <c r="Q37" s="139"/>
      <c r="R37" s="142"/>
      <c r="S37" s="142"/>
      <c r="T37" s="139"/>
      <c r="U37" s="139"/>
      <c r="V37" s="139"/>
      <c r="W37" s="93"/>
      <c r="X37" s="97">
        <f t="shared" si="5"/>
        <v>0</v>
      </c>
      <c r="Y37" s="116"/>
    </row>
    <row r="38" spans="1:25" ht="13.5" customHeight="1" x14ac:dyDescent="0.25">
      <c r="A38" s="78">
        <v>3640</v>
      </c>
      <c r="C38" s="245" t="s">
        <v>286</v>
      </c>
      <c r="D38" s="89"/>
      <c r="E38" s="142"/>
      <c r="F38" s="139">
        <f>VLOOKUP(A38,'PYExhD Data'!$A$7:$V$42,6,FALSE)</f>
        <v>655136513</v>
      </c>
      <c r="G38" s="139">
        <f>VLOOKUP(A38,'PYExhD Data'!$A$7:$V$42,7,FALSE)</f>
        <v>490463727</v>
      </c>
      <c r="H38" s="142"/>
      <c r="I38" s="139">
        <f>VLOOKUP(A38,'PYExhD Data'!$A$7:$V$42,9,FALSE)</f>
        <v>110302507</v>
      </c>
      <c r="J38" s="139">
        <f>VLOOKUP(A38,'PYExhD Data'!$A$7:$V$42,10,FALSE)</f>
        <v>26536516</v>
      </c>
      <c r="K38" s="142"/>
      <c r="L38" s="139">
        <f>VLOOKUP(A38,'PYExhD Data'!$A$7:$V$42,12,FALSE)</f>
        <v>104331159</v>
      </c>
      <c r="M38" s="139">
        <f>VLOOKUP(A38,'PYExhD Data'!$A$7:$V$42,13,FALSE)</f>
        <v>4377801</v>
      </c>
      <c r="N38" s="142"/>
      <c r="O38" s="139">
        <f>VLOOKUP(A38,'PYExhD Data'!$A$7:$V$42,15,FALSE)</f>
        <v>0</v>
      </c>
      <c r="P38" s="144"/>
      <c r="Q38" s="139">
        <f>VLOOKUP(A38,'PYExhD Data'!$A$7:$V$42,17,FALSE)</f>
        <v>27165488</v>
      </c>
      <c r="R38" s="142"/>
      <c r="S38" s="142"/>
      <c r="T38" s="139">
        <f>VLOOKUP(A38,'PYExhD Data'!$A$7:$V$42,20,FALSE)</f>
        <v>28320526</v>
      </c>
      <c r="U38" s="139">
        <f>VLOOKUP(A38,'PYExhD Data'!$A$7:$V$42,21,FALSE)</f>
        <v>51744906</v>
      </c>
      <c r="V38" s="139">
        <f>VLOOKUP(A38,'PYExhD Data'!$A$7:$V$42,22,FALSE)</f>
        <v>22885377</v>
      </c>
      <c r="W38" s="93"/>
      <c r="X38" s="97">
        <f t="shared" si="5"/>
        <v>1521264520</v>
      </c>
      <c r="Y38" s="116"/>
    </row>
    <row r="39" spans="1:25" ht="13.5" customHeight="1" x14ac:dyDescent="0.25">
      <c r="C39" s="214" t="s">
        <v>289</v>
      </c>
      <c r="D39" s="89"/>
      <c r="E39" s="142"/>
      <c r="F39" s="139"/>
      <c r="G39" s="139"/>
      <c r="H39" s="142"/>
      <c r="I39" s="139"/>
      <c r="J39" s="139"/>
      <c r="K39" s="142"/>
      <c r="L39" s="139"/>
      <c r="M39" s="139"/>
      <c r="N39" s="142"/>
      <c r="O39" s="139"/>
      <c r="P39" s="144"/>
      <c r="Q39" s="139"/>
      <c r="R39" s="142"/>
      <c r="S39" s="142"/>
      <c r="T39" s="139"/>
      <c r="U39" s="139"/>
      <c r="V39" s="139"/>
      <c r="W39" s="93"/>
      <c r="X39" s="97">
        <f t="shared" si="5"/>
        <v>0</v>
      </c>
      <c r="Y39" s="116"/>
    </row>
    <row r="40" spans="1:25" ht="13.5" customHeight="1" x14ac:dyDescent="0.25">
      <c r="A40" s="78">
        <v>3650</v>
      </c>
      <c r="C40" s="245" t="s">
        <v>286</v>
      </c>
      <c r="D40" s="89"/>
      <c r="E40" s="142"/>
      <c r="F40" s="139">
        <f>VLOOKUP(A40,'PYExhD Data'!$A$7:$V$42,6,FALSE)</f>
        <v>832110878</v>
      </c>
      <c r="G40" s="139">
        <f>VLOOKUP(A40,'PYExhD Data'!$A$7:$V$42,7,FALSE)</f>
        <v>451163987</v>
      </c>
      <c r="H40" s="142"/>
      <c r="I40" s="139">
        <f>VLOOKUP(A40,'PYExhD Data'!$A$7:$V$42,9,FALSE)</f>
        <v>132511637</v>
      </c>
      <c r="J40" s="139">
        <f>VLOOKUP(A40,'PYExhD Data'!$A$7:$V$42,10,FALSE)</f>
        <v>27551394</v>
      </c>
      <c r="K40" s="142"/>
      <c r="L40" s="139">
        <f>VLOOKUP(A40,'PYExhD Data'!$A$7:$V$42,12,FALSE)</f>
        <v>102699235</v>
      </c>
      <c r="M40" s="139">
        <f>VLOOKUP(A40,'PYExhD Data'!$A$7:$V$42,13,FALSE)</f>
        <v>31557326</v>
      </c>
      <c r="N40" s="142"/>
      <c r="O40" s="139">
        <f>VLOOKUP(A40,'PYExhD Data'!$A$7:$V$42,15,FALSE)</f>
        <v>0</v>
      </c>
      <c r="P40" s="144"/>
      <c r="Q40" s="139">
        <f>VLOOKUP(A40,'PYExhD Data'!$A$7:$V$42,17,FALSE)</f>
        <v>11583224</v>
      </c>
      <c r="R40" s="142"/>
      <c r="S40" s="142"/>
      <c r="T40" s="139">
        <f>VLOOKUP(A40,'PYExhD Data'!$A$7:$V$42,20,FALSE)</f>
        <v>23274427</v>
      </c>
      <c r="U40" s="139">
        <f>VLOOKUP(A40,'PYExhD Data'!$A$7:$V$42,21,FALSE)</f>
        <v>58930743</v>
      </c>
      <c r="V40" s="139">
        <f>VLOOKUP(A40,'PYExhD Data'!$A$7:$V$42,22,FALSE)</f>
        <v>14017090</v>
      </c>
      <c r="W40" s="93"/>
      <c r="X40" s="97">
        <f t="shared" si="5"/>
        <v>1685399941</v>
      </c>
      <c r="Y40" s="116"/>
    </row>
    <row r="41" spans="1:25" ht="13.5" customHeight="1" x14ac:dyDescent="0.25">
      <c r="A41" s="78">
        <v>3680</v>
      </c>
      <c r="C41" s="151" t="s">
        <v>291</v>
      </c>
      <c r="D41" s="89"/>
      <c r="E41" s="142"/>
      <c r="F41" s="139">
        <f>VLOOKUP(A41,'PYExhD Data'!$A$7:$V$42,6,FALSE)</f>
        <v>131475532</v>
      </c>
      <c r="G41" s="139">
        <f>VLOOKUP(A41,'PYExhD Data'!$A$7:$V$42,7,FALSE)</f>
        <v>27279292</v>
      </c>
      <c r="H41" s="142"/>
      <c r="I41" s="139">
        <f>VLOOKUP(A41,'PYExhD Data'!$A$7:$V$42,9,FALSE)</f>
        <v>29071017</v>
      </c>
      <c r="J41" s="139">
        <f>VLOOKUP(A41,'PYExhD Data'!$A$7:$V$42,10,FALSE)</f>
        <v>1597238</v>
      </c>
      <c r="K41" s="142"/>
      <c r="L41" s="139">
        <f>VLOOKUP(A41,'PYExhD Data'!$A$7:$V$42,12,FALSE)</f>
        <v>21414552</v>
      </c>
      <c r="M41" s="139">
        <f>VLOOKUP(A41,'PYExhD Data'!$A$7:$V$42,13,FALSE)</f>
        <v>24928917</v>
      </c>
      <c r="N41" s="142"/>
      <c r="O41" s="139">
        <f>VLOOKUP(A41,'PYExhD Data'!$A$7:$V$42,15,FALSE)</f>
        <v>0</v>
      </c>
      <c r="P41" s="144"/>
      <c r="Q41" s="139">
        <f>VLOOKUP(A41,'PYExhD Data'!$A$7:$V$42,17,FALSE)</f>
        <v>32536820</v>
      </c>
      <c r="R41" s="142"/>
      <c r="S41" s="142"/>
      <c r="T41" s="139">
        <f>VLOOKUP(A41,'PYExhD Data'!$A$7:$V$42,20,FALSE)</f>
        <v>1912413</v>
      </c>
      <c r="U41" s="139">
        <f>VLOOKUP(A41,'PYExhD Data'!$A$7:$V$42,21,FALSE)</f>
        <v>947703</v>
      </c>
      <c r="V41" s="139">
        <f>VLOOKUP(A41,'PYExhD Data'!$A$7:$V$42,22,FALSE)</f>
        <v>5891172</v>
      </c>
      <c r="W41" s="93"/>
      <c r="X41" s="97">
        <f t="shared" si="5"/>
        <v>277054656</v>
      </c>
      <c r="Y41" s="116"/>
    </row>
    <row r="42" spans="1:25" ht="14.25" thickBot="1" x14ac:dyDescent="0.3">
      <c r="C42" s="1" t="s">
        <v>96</v>
      </c>
      <c r="D42" s="89"/>
      <c r="E42" s="131">
        <f>SUM(E35:E41)</f>
        <v>0</v>
      </c>
      <c r="F42" s="131">
        <f>SUM(F35:F41)</f>
        <v>1622477266</v>
      </c>
      <c r="G42" s="131">
        <f t="shared" ref="G42:U42" si="6">SUM(G35:G41)</f>
        <v>1007948598</v>
      </c>
      <c r="H42" s="131">
        <f t="shared" si="6"/>
        <v>0</v>
      </c>
      <c r="I42" s="131">
        <f t="shared" si="6"/>
        <v>271914610</v>
      </c>
      <c r="J42" s="131">
        <f t="shared" si="6"/>
        <v>56383668</v>
      </c>
      <c r="K42" s="131">
        <f t="shared" si="6"/>
        <v>0</v>
      </c>
      <c r="L42" s="131">
        <f t="shared" si="6"/>
        <v>233646085</v>
      </c>
      <c r="M42" s="131">
        <f t="shared" si="6"/>
        <v>62601772</v>
      </c>
      <c r="N42" s="131">
        <f t="shared" si="6"/>
        <v>0</v>
      </c>
      <c r="O42" s="131">
        <f t="shared" si="6"/>
        <v>0</v>
      </c>
      <c r="P42" s="131">
        <f t="shared" si="6"/>
        <v>0</v>
      </c>
      <c r="Q42" s="131">
        <f t="shared" si="6"/>
        <v>76490201</v>
      </c>
      <c r="R42" s="131">
        <f t="shared" si="6"/>
        <v>0</v>
      </c>
      <c r="S42" s="131">
        <f t="shared" si="6"/>
        <v>0</v>
      </c>
      <c r="T42" s="131">
        <f t="shared" si="6"/>
        <v>53644847</v>
      </c>
      <c r="U42" s="131">
        <f t="shared" si="6"/>
        <v>112001689</v>
      </c>
      <c r="V42" s="131">
        <f>SUM(V35:V41)</f>
        <v>42895584</v>
      </c>
      <c r="W42" s="124"/>
      <c r="X42" s="124">
        <f>SUM(X35:X41)</f>
        <v>3540004320</v>
      </c>
      <c r="Y42" s="116"/>
    </row>
    <row r="43" spans="1:25" ht="10.5" customHeight="1" thickTop="1" x14ac:dyDescent="0.25">
      <c r="C43" s="89"/>
      <c r="D43" s="89"/>
      <c r="E43" s="93"/>
      <c r="F43" s="93"/>
      <c r="G43" s="93"/>
      <c r="H43" s="93"/>
      <c r="I43" s="93"/>
      <c r="J43" s="93"/>
      <c r="K43" s="93"/>
      <c r="L43" s="93"/>
      <c r="M43" s="93"/>
      <c r="N43" s="93"/>
      <c r="O43" s="93"/>
      <c r="P43" s="93"/>
      <c r="Q43" s="93"/>
      <c r="R43" s="93"/>
      <c r="S43" s="93"/>
      <c r="T43" s="93"/>
      <c r="U43" s="93"/>
      <c r="V43" s="93"/>
      <c r="W43" s="93"/>
      <c r="Y43" s="116"/>
    </row>
    <row r="44" spans="1:25" ht="10.5" customHeight="1" x14ac:dyDescent="0.25">
      <c r="C44" s="116"/>
      <c r="D44" s="125"/>
      <c r="E44" s="112" t="str">
        <f t="shared" ref="E44:U44" si="7">IF(E19-E32=E42,"In Balance","Not Balanced")</f>
        <v>In Balance</v>
      </c>
      <c r="F44" s="112" t="str">
        <f t="shared" si="7"/>
        <v>In Balance</v>
      </c>
      <c r="G44" s="112" t="str">
        <f t="shared" si="7"/>
        <v>In Balance</v>
      </c>
      <c r="H44" s="112" t="str">
        <f t="shared" si="7"/>
        <v>In Balance</v>
      </c>
      <c r="I44" s="112" t="str">
        <f t="shared" si="7"/>
        <v>In Balance</v>
      </c>
      <c r="J44" s="112" t="str">
        <f t="shared" si="7"/>
        <v>In Balance</v>
      </c>
      <c r="K44" s="112" t="str">
        <f t="shared" si="7"/>
        <v>In Balance</v>
      </c>
      <c r="L44" s="112" t="str">
        <f t="shared" si="7"/>
        <v>In Balance</v>
      </c>
      <c r="M44" s="112" t="str">
        <f t="shared" si="7"/>
        <v>In Balance</v>
      </c>
      <c r="N44" s="112" t="str">
        <f t="shared" si="7"/>
        <v>In Balance</v>
      </c>
      <c r="O44" s="112" t="str">
        <f t="shared" si="7"/>
        <v>In Balance</v>
      </c>
      <c r="P44" s="112" t="str">
        <f t="shared" si="7"/>
        <v>In Balance</v>
      </c>
      <c r="Q44" s="112" t="str">
        <f t="shared" si="7"/>
        <v>In Balance</v>
      </c>
      <c r="R44" s="112" t="str">
        <f t="shared" si="7"/>
        <v>In Balance</v>
      </c>
      <c r="S44" s="112" t="str">
        <f t="shared" si="7"/>
        <v>In Balance</v>
      </c>
      <c r="T44" s="112" t="str">
        <f t="shared" si="7"/>
        <v>In Balance</v>
      </c>
      <c r="U44" s="112" t="str">
        <f t="shared" si="7"/>
        <v>In Balance</v>
      </c>
      <c r="V44" s="112" t="str">
        <f>IF(V19-V32=V42,"In Balance","Not Balanced")</f>
        <v>In Balance</v>
      </c>
      <c r="W44" s="112"/>
      <c r="X44" s="112" t="str">
        <f>IF(X19-X32=X42,"In Balance","Not Balanced")</f>
        <v>In Balance</v>
      </c>
      <c r="Y44" s="116"/>
    </row>
    <row r="45" spans="1:25" x14ac:dyDescent="0.25">
      <c r="A45" s="147" t="s">
        <v>510</v>
      </c>
      <c r="E45" s="126"/>
      <c r="F45" s="126"/>
      <c r="G45" s="126"/>
      <c r="H45" s="126"/>
      <c r="I45" s="126"/>
      <c r="J45" s="126"/>
      <c r="K45" s="126"/>
      <c r="L45" s="126"/>
      <c r="M45" s="126"/>
      <c r="N45" s="126"/>
      <c r="O45" s="126"/>
      <c r="P45" s="126"/>
      <c r="Q45" s="126"/>
      <c r="R45" s="126"/>
      <c r="S45" s="126"/>
      <c r="T45" s="126"/>
      <c r="U45" s="126"/>
      <c r="V45" s="126"/>
      <c r="W45" s="126"/>
      <c r="X45" s="126"/>
    </row>
    <row r="46" spans="1:25" x14ac:dyDescent="0.25">
      <c r="A46" s="32" t="s">
        <v>511</v>
      </c>
      <c r="V46" s="431"/>
      <c r="X46" s="98"/>
    </row>
    <row r="47" spans="1:25" x14ac:dyDescent="0.25">
      <c r="A47" s="222" t="s">
        <v>512</v>
      </c>
      <c r="E47" s="127"/>
      <c r="F47" s="127"/>
      <c r="G47" s="127"/>
      <c r="H47" s="127"/>
      <c r="I47" s="127"/>
      <c r="J47" s="127"/>
      <c r="K47" s="127"/>
      <c r="L47" s="127"/>
      <c r="M47" s="127"/>
      <c r="N47" s="127"/>
      <c r="O47" s="127"/>
      <c r="P47" s="127"/>
      <c r="Q47" s="127"/>
      <c r="R47" s="127"/>
      <c r="S47" s="127"/>
      <c r="T47" s="127"/>
      <c r="U47" s="127"/>
      <c r="V47" s="127"/>
      <c r="W47" s="127"/>
    </row>
    <row r="48" spans="1:25" x14ac:dyDescent="0.25">
      <c r="A48" s="32"/>
      <c r="E48" s="127"/>
      <c r="F48" s="127"/>
      <c r="G48" s="127"/>
      <c r="H48" s="127"/>
      <c r="I48" s="127"/>
      <c r="J48" s="127"/>
      <c r="K48" s="127"/>
      <c r="L48" s="127"/>
      <c r="M48" s="127"/>
      <c r="N48" s="127"/>
      <c r="O48" s="127"/>
      <c r="P48" s="127"/>
      <c r="Q48" s="127"/>
      <c r="R48" s="127"/>
      <c r="S48" s="127"/>
      <c r="T48" s="127"/>
      <c r="U48" s="127"/>
      <c r="V48" s="127"/>
      <c r="W48" s="127"/>
    </row>
    <row r="49" spans="1:24" s="79" customFormat="1" x14ac:dyDescent="0.25">
      <c r="A49" s="32"/>
      <c r="B49" s="114"/>
      <c r="C49" s="114"/>
      <c r="D49" s="114"/>
      <c r="E49" s="127"/>
      <c r="F49" s="127"/>
      <c r="G49" s="127"/>
      <c r="H49" s="127"/>
      <c r="I49" s="127"/>
      <c r="J49" s="127"/>
      <c r="K49" s="127"/>
      <c r="L49" s="127"/>
      <c r="M49" s="127"/>
      <c r="N49" s="127"/>
      <c r="O49" s="127"/>
      <c r="P49" s="127"/>
      <c r="Q49" s="127"/>
      <c r="R49" s="127"/>
      <c r="S49" s="127"/>
      <c r="T49" s="127"/>
      <c r="U49" s="127"/>
      <c r="V49" s="127"/>
      <c r="W49" s="127"/>
      <c r="X49" s="97"/>
    </row>
    <row r="50" spans="1:24" s="79" customFormat="1" x14ac:dyDescent="0.25">
      <c r="A50" s="32"/>
      <c r="B50" s="114"/>
      <c r="D50" s="114"/>
      <c r="E50" s="127"/>
      <c r="F50" s="127"/>
      <c r="G50" s="127"/>
      <c r="H50" s="127"/>
      <c r="I50" s="127"/>
      <c r="J50" s="127"/>
      <c r="K50" s="127"/>
      <c r="L50" s="127"/>
      <c r="M50" s="127"/>
      <c r="N50" s="127"/>
      <c r="O50" s="127"/>
      <c r="P50" s="127"/>
      <c r="Q50" s="127"/>
      <c r="R50" s="127"/>
      <c r="S50" s="127"/>
      <c r="T50" s="127"/>
      <c r="U50" s="127"/>
      <c r="V50" s="127"/>
      <c r="W50" s="127"/>
      <c r="X50" s="127"/>
    </row>
    <row r="51" spans="1:24" s="79" customFormat="1" x14ac:dyDescent="0.25">
      <c r="A51" s="32"/>
      <c r="B51" s="114"/>
      <c r="C51" s="114"/>
      <c r="D51" s="114"/>
      <c r="E51" s="127"/>
      <c r="F51" s="127"/>
      <c r="G51" s="127"/>
      <c r="H51" s="127"/>
      <c r="I51" s="127"/>
      <c r="J51" s="127"/>
      <c r="K51" s="127"/>
      <c r="L51" s="127"/>
      <c r="M51" s="127"/>
      <c r="N51" s="127"/>
      <c r="O51" s="127"/>
      <c r="P51" s="127"/>
      <c r="Q51" s="127"/>
      <c r="R51" s="127"/>
      <c r="S51" s="127"/>
      <c r="T51" s="127"/>
      <c r="U51" s="127"/>
      <c r="V51" s="127"/>
      <c r="W51" s="127"/>
      <c r="X51" s="127"/>
    </row>
    <row r="52" spans="1:24" s="79" customFormat="1" x14ac:dyDescent="0.25">
      <c r="A52" s="78"/>
      <c r="B52" s="114"/>
      <c r="C52" s="114"/>
      <c r="D52" s="114"/>
      <c r="E52" s="127"/>
      <c r="F52" s="127"/>
      <c r="G52" s="127"/>
      <c r="H52" s="127"/>
      <c r="I52" s="127"/>
      <c r="J52" s="127"/>
      <c r="K52" s="127"/>
      <c r="L52" s="127"/>
      <c r="M52" s="127"/>
      <c r="N52" s="127"/>
      <c r="O52" s="127"/>
      <c r="P52" s="127"/>
      <c r="Q52" s="127"/>
      <c r="R52" s="127"/>
      <c r="S52" s="127"/>
      <c r="T52" s="127"/>
      <c r="U52" s="127"/>
      <c r="V52" s="127"/>
      <c r="W52" s="127"/>
      <c r="X52" s="97"/>
    </row>
    <row r="53" spans="1:24" s="79" customFormat="1" ht="13.5" x14ac:dyDescent="0.25">
      <c r="A53" s="78"/>
      <c r="B53" s="120" t="s">
        <v>482</v>
      </c>
      <c r="C53" s="137" t="s">
        <v>513</v>
      </c>
      <c r="D53" s="114"/>
      <c r="E53" s="73"/>
      <c r="F53" s="127"/>
      <c r="G53" s="127"/>
      <c r="H53" s="127"/>
      <c r="I53" s="127"/>
      <c r="J53" s="127"/>
      <c r="K53" s="127"/>
      <c r="L53" s="127"/>
      <c r="M53" s="127"/>
      <c r="N53" s="127"/>
      <c r="O53" s="127"/>
      <c r="P53" s="127"/>
      <c r="Q53" s="127"/>
      <c r="R53" s="127"/>
      <c r="S53" s="127"/>
      <c r="T53" s="127"/>
      <c r="U53" s="127"/>
      <c r="V53" s="127"/>
      <c r="W53" s="127"/>
      <c r="X53" s="127"/>
    </row>
    <row r="54" spans="1:24" s="79" customFormat="1" ht="13.5" x14ac:dyDescent="0.25">
      <c r="A54" s="78"/>
      <c r="B54" s="114"/>
      <c r="C54" s="114"/>
      <c r="D54" s="114"/>
      <c r="E54" s="73"/>
      <c r="F54" s="127"/>
      <c r="G54" s="127"/>
      <c r="H54" s="127"/>
      <c r="I54" s="127"/>
      <c r="J54" s="127"/>
      <c r="K54" s="127"/>
      <c r="L54" s="127"/>
      <c r="M54" s="127"/>
      <c r="N54" s="127"/>
      <c r="O54" s="127"/>
      <c r="P54" s="127"/>
      <c r="Q54" s="127"/>
      <c r="R54" s="127"/>
      <c r="S54" s="127"/>
      <c r="T54" s="127"/>
      <c r="U54" s="127"/>
      <c r="V54" s="127"/>
      <c r="W54" s="127"/>
      <c r="X54" s="127"/>
    </row>
    <row r="55" spans="1:24" s="79" customFormat="1" x14ac:dyDescent="0.25">
      <c r="A55" s="78"/>
      <c r="B55" s="114"/>
      <c r="C55" s="114"/>
      <c r="D55" s="114"/>
      <c r="E55" s="127"/>
      <c r="F55" s="127"/>
      <c r="G55" s="127"/>
      <c r="H55" s="127"/>
      <c r="I55" s="127"/>
      <c r="J55" s="127"/>
      <c r="K55" s="127"/>
      <c r="L55" s="127"/>
      <c r="M55" s="127"/>
      <c r="N55" s="127"/>
      <c r="O55" s="127"/>
      <c r="P55" s="127"/>
      <c r="Q55" s="127"/>
      <c r="R55" s="127"/>
      <c r="S55" s="127"/>
      <c r="T55" s="127"/>
      <c r="U55" s="127"/>
      <c r="V55" s="127"/>
      <c r="W55" s="127"/>
      <c r="X55" s="127"/>
    </row>
  </sheetData>
  <sheetProtection algorithmName="SHA-512" hashValue="0v8kNPt1sT6zTxwCiFoMqO508agivm9M3ejcnXzFmur1Klx4GVbGosoiWNmSDEGzUNLQkLNdDZg+5d6EH8zNsA==" saltValue="Uu1Dk/G5a2wlJjlaXUJWTg==" spinCount="100000" sheet="1" autoFilter="0"/>
  <printOptions headings="1" gridLines="1"/>
  <pageMargins left="0.7" right="0.7" top="0.75" bottom="0.75" header="0.3" footer="0.3"/>
  <pageSetup scale="4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Y38"/>
  <sheetViews>
    <sheetView zoomScaleNormal="100" workbookViewId="0">
      <pane xSplit="3" ySplit="5" topLeftCell="D6" activePane="bottomRight" state="frozen"/>
      <selection pane="topRight"/>
      <selection pane="bottomLeft"/>
      <selection pane="bottomRight" activeCell="N31" sqref="N31"/>
    </sheetView>
  </sheetViews>
  <sheetFormatPr defaultRowHeight="12.75" x14ac:dyDescent="0.2"/>
  <cols>
    <col min="1" max="1" width="5" bestFit="1" customWidth="1"/>
    <col min="2" max="2" width="5.140625" bestFit="1" customWidth="1"/>
    <col min="3" max="3" width="41.5703125" bestFit="1" customWidth="1"/>
    <col min="4" max="4" width="2.7109375" customWidth="1"/>
    <col min="5" max="5" width="6.5703125" bestFit="1" customWidth="1"/>
    <col min="6" max="6" width="13.42578125" bestFit="1" customWidth="1"/>
    <col min="7" max="7" width="13.85546875" customWidth="1"/>
    <col min="8" max="8" width="5.5703125" bestFit="1" customWidth="1"/>
    <col min="9" max="9" width="11.42578125" customWidth="1"/>
    <col min="10" max="10" width="10.7109375" bestFit="1" customWidth="1"/>
    <col min="11" max="11" width="5.7109375" bestFit="1" customWidth="1"/>
    <col min="12" max="12" width="13.85546875" customWidth="1"/>
    <col min="13" max="13" width="11.28515625" customWidth="1"/>
    <col min="14" max="14" width="5.42578125" bestFit="1" customWidth="1"/>
    <col min="15" max="15" width="13.140625" customWidth="1"/>
    <col min="16" max="16" width="5.42578125" bestFit="1" customWidth="1"/>
    <col min="17" max="17" width="10.85546875" customWidth="1"/>
    <col min="18" max="18" width="5.5703125" bestFit="1" customWidth="1"/>
    <col min="19" max="19" width="9.85546875" bestFit="1" customWidth="1"/>
    <col min="20" max="20" width="11.7109375" bestFit="1" customWidth="1"/>
    <col min="21" max="21" width="10.85546875" bestFit="1" customWidth="1"/>
    <col min="22" max="22" width="11" customWidth="1"/>
    <col min="23" max="23" width="3.42578125" customWidth="1"/>
    <col min="24" max="24" width="13.5703125" customWidth="1"/>
  </cols>
  <sheetData>
    <row r="1" spans="1:24" ht="13.5" x14ac:dyDescent="0.25">
      <c r="A1" s="107"/>
      <c r="B1" s="108"/>
      <c r="C1" s="80" t="s">
        <v>460</v>
      </c>
      <c r="D1" s="81"/>
      <c r="E1" s="79"/>
      <c r="F1" s="81"/>
      <c r="G1" s="81"/>
      <c r="H1" s="81"/>
      <c r="I1" s="81"/>
      <c r="J1" s="81"/>
      <c r="K1" s="81"/>
      <c r="L1" s="81"/>
      <c r="M1" s="81"/>
      <c r="N1" s="81"/>
      <c r="O1" s="81"/>
      <c r="P1" s="81"/>
      <c r="Q1" s="81"/>
      <c r="R1" s="81"/>
      <c r="S1" s="81"/>
      <c r="T1" s="81"/>
      <c r="U1" s="81"/>
      <c r="V1" s="81"/>
      <c r="W1" s="81"/>
      <c r="X1" s="98"/>
    </row>
    <row r="2" spans="1:24" ht="13.5" x14ac:dyDescent="0.25">
      <c r="A2" s="107"/>
      <c r="B2" s="108"/>
      <c r="C2" s="83" t="s">
        <v>461</v>
      </c>
      <c r="D2" s="81"/>
      <c r="E2" s="84" t="s">
        <v>462</v>
      </c>
      <c r="F2" s="84" t="s">
        <v>463</v>
      </c>
      <c r="G2" s="84" t="s">
        <v>464</v>
      </c>
      <c r="H2" s="84" t="s">
        <v>465</v>
      </c>
      <c r="I2" s="84" t="s">
        <v>466</v>
      </c>
      <c r="J2" s="84" t="s">
        <v>467</v>
      </c>
      <c r="K2" s="84" t="s">
        <v>468</v>
      </c>
      <c r="L2" s="84" t="s">
        <v>469</v>
      </c>
      <c r="M2" s="84" t="s">
        <v>470</v>
      </c>
      <c r="N2" s="84" t="s">
        <v>471</v>
      </c>
      <c r="O2" s="84" t="s">
        <v>472</v>
      </c>
      <c r="P2" s="84" t="s">
        <v>473</v>
      </c>
      <c r="Q2" s="84" t="s">
        <v>474</v>
      </c>
      <c r="R2" s="84" t="s">
        <v>475</v>
      </c>
      <c r="S2" s="84" t="s">
        <v>476</v>
      </c>
      <c r="T2" s="84" t="s">
        <v>477</v>
      </c>
      <c r="U2" s="84" t="s">
        <v>478</v>
      </c>
      <c r="V2" s="84" t="s">
        <v>479</v>
      </c>
      <c r="W2" s="81"/>
      <c r="X2" s="98"/>
    </row>
    <row r="3" spans="1:24" ht="13.5" x14ac:dyDescent="0.25">
      <c r="A3" s="107"/>
      <c r="B3" s="108"/>
      <c r="C3" s="85">
        <v>45473</v>
      </c>
      <c r="D3" s="86"/>
      <c r="E3" s="81"/>
      <c r="F3" s="81"/>
      <c r="G3" s="81"/>
      <c r="H3" s="81"/>
      <c r="I3" s="81"/>
      <c r="J3" s="81"/>
      <c r="K3" s="81"/>
      <c r="L3" s="81"/>
      <c r="M3" s="81"/>
      <c r="N3" s="81"/>
      <c r="O3" s="81"/>
      <c r="P3" s="81"/>
      <c r="Q3" s="81"/>
      <c r="R3" s="81"/>
      <c r="S3" s="81"/>
      <c r="T3" s="81"/>
      <c r="U3" s="81"/>
      <c r="V3" s="81"/>
      <c r="W3" s="81"/>
      <c r="X3" s="98"/>
    </row>
    <row r="4" spans="1:24" ht="13.5" x14ac:dyDescent="0.25">
      <c r="A4" s="107"/>
      <c r="B4" s="108"/>
      <c r="C4" s="132" t="s">
        <v>514</v>
      </c>
      <c r="D4" s="108"/>
      <c r="E4" s="81"/>
      <c r="F4" s="81"/>
      <c r="G4" s="81"/>
      <c r="H4" s="81"/>
      <c r="I4" s="81"/>
      <c r="J4" s="81"/>
      <c r="K4" s="81"/>
      <c r="L4" s="81"/>
      <c r="M4" s="81"/>
      <c r="N4" s="81"/>
      <c r="O4" s="81"/>
      <c r="P4" s="81"/>
      <c r="Q4" s="81"/>
      <c r="R4" s="81"/>
      <c r="S4" s="81"/>
      <c r="T4" s="81"/>
      <c r="U4" s="81"/>
      <c r="V4" s="81"/>
      <c r="W4" s="81"/>
      <c r="X4" s="98" t="s">
        <v>483</v>
      </c>
    </row>
    <row r="5" spans="1:24" ht="13.5" x14ac:dyDescent="0.25">
      <c r="A5" s="107"/>
      <c r="B5" s="108"/>
      <c r="C5" s="87" t="s">
        <v>481</v>
      </c>
      <c r="D5" s="108"/>
      <c r="E5" s="88" t="s">
        <v>484</v>
      </c>
      <c r="F5" s="88" t="s">
        <v>485</v>
      </c>
      <c r="G5" s="88" t="s">
        <v>486</v>
      </c>
      <c r="H5" s="88" t="s">
        <v>487</v>
      </c>
      <c r="I5" s="88" t="s">
        <v>488</v>
      </c>
      <c r="J5" s="88" t="s">
        <v>489</v>
      </c>
      <c r="K5" s="88" t="s">
        <v>490</v>
      </c>
      <c r="L5" s="88" t="s">
        <v>491</v>
      </c>
      <c r="M5" s="88" t="s">
        <v>492</v>
      </c>
      <c r="N5" s="88" t="s">
        <v>493</v>
      </c>
      <c r="O5" s="88" t="s">
        <v>494</v>
      </c>
      <c r="P5" s="88" t="s">
        <v>515</v>
      </c>
      <c r="Q5" s="88" t="s">
        <v>496</v>
      </c>
      <c r="R5" s="88" t="s">
        <v>497</v>
      </c>
      <c r="S5" s="88" t="s">
        <v>498</v>
      </c>
      <c r="T5" s="88" t="s">
        <v>516</v>
      </c>
      <c r="U5" s="88" t="s">
        <v>517</v>
      </c>
      <c r="V5" s="88" t="s">
        <v>501</v>
      </c>
      <c r="W5" s="88"/>
      <c r="X5" s="99" t="s">
        <v>502</v>
      </c>
    </row>
    <row r="6" spans="1:24" x14ac:dyDescent="0.2">
      <c r="A6" s="107"/>
      <c r="B6" s="108"/>
      <c r="C6" s="105" t="s">
        <v>310</v>
      </c>
      <c r="D6" s="108"/>
      <c r="E6" s="108"/>
      <c r="F6" s="108"/>
      <c r="G6" s="108"/>
      <c r="H6" s="108"/>
      <c r="I6" s="108"/>
      <c r="J6" s="108"/>
      <c r="K6" s="108"/>
      <c r="L6" s="108"/>
      <c r="M6" s="108"/>
      <c r="N6" s="108"/>
      <c r="O6" s="108"/>
      <c r="P6" s="108"/>
      <c r="Q6" s="108"/>
      <c r="R6" s="108"/>
      <c r="S6" s="108"/>
      <c r="T6" s="108"/>
      <c r="U6" s="108"/>
      <c r="V6" s="108"/>
      <c r="W6" s="108"/>
      <c r="X6" s="108"/>
    </row>
    <row r="7" spans="1:24" x14ac:dyDescent="0.2">
      <c r="A7" s="107">
        <v>2700</v>
      </c>
      <c r="B7" s="248">
        <v>505</v>
      </c>
      <c r="C7" s="249" t="s">
        <v>311</v>
      </c>
      <c r="D7" s="108"/>
      <c r="E7" s="262"/>
      <c r="F7" s="263">
        <f>VLOOKUP(A7,'PYExhE Data'!$A$7:$V$31,6,FALSE)</f>
        <v>0</v>
      </c>
      <c r="G7" s="263">
        <f>VLOOKUP(A7,'PYExhE Data'!$A$7:$V$31,7,FALSE)</f>
        <v>685771</v>
      </c>
      <c r="H7" s="262"/>
      <c r="I7" s="263">
        <f>VLOOKUP(A7,'PYExhE Data'!$A$7:$V$31,9,FALSE)</f>
        <v>11759</v>
      </c>
      <c r="J7" s="263">
        <f>VLOOKUP(A7,'PYExhE Data'!$A$7:$V$31,10,FALSE)</f>
        <v>593259</v>
      </c>
      <c r="K7" s="262"/>
      <c r="L7" s="263">
        <f>VLOOKUP(A7,'PYExhE Data'!$A$7:$V$31,12,FALSE)</f>
        <v>0</v>
      </c>
      <c r="M7" s="263">
        <f>VLOOKUP(A7,'PYExhE Data'!$A$7:$V$31,13,FALSE)</f>
        <v>0</v>
      </c>
      <c r="N7" s="262"/>
      <c r="O7" s="263">
        <f>VLOOKUP(A7,'PYExhE Data'!$A$7:$V$31,15,FALSE)</f>
        <v>0</v>
      </c>
      <c r="P7" s="262"/>
      <c r="Q7" s="263">
        <f>VLOOKUP(A7,'PYExhE Data'!$A$7:$V$31,17,FALSE)</f>
        <v>0</v>
      </c>
      <c r="R7" s="262"/>
      <c r="S7" s="262"/>
      <c r="T7" s="263">
        <f>VLOOKUP(A7,'PYExhE Data'!$A$7:$V$31,20,FALSE)</f>
        <v>0</v>
      </c>
      <c r="U7" s="263">
        <f>VLOOKUP(A7,'PYExhE Data'!$A$7:$V$31,21,FALSE)</f>
        <v>1000000</v>
      </c>
      <c r="V7" s="263">
        <f>VLOOKUP(A7,'PYExhE Data'!$A$7:$V$31,22,FALSE)</f>
        <v>0</v>
      </c>
      <c r="W7" s="264"/>
      <c r="X7" s="264">
        <f>SUM(D7:W7)</f>
        <v>2290789</v>
      </c>
    </row>
    <row r="8" spans="1:24" x14ac:dyDescent="0.2">
      <c r="A8" s="107">
        <v>2710</v>
      </c>
      <c r="B8" s="248">
        <v>500</v>
      </c>
      <c r="C8" s="249" t="s">
        <v>172</v>
      </c>
      <c r="D8" s="108"/>
      <c r="E8" s="262"/>
      <c r="F8" s="263">
        <f>VLOOKUP(A8,'PYExhE Data'!$A$7:$V$31,6,FALSE)</f>
        <v>72276426</v>
      </c>
      <c r="G8" s="263">
        <f>VLOOKUP(A8,'PYExhE Data'!$A$7:$V$31,7,FALSE)</f>
        <v>21724941</v>
      </c>
      <c r="H8" s="262"/>
      <c r="I8" s="263">
        <f>VLOOKUP(A8,'PYExhE Data'!$A$7:$V$31,9,FALSE)</f>
        <v>11916102</v>
      </c>
      <c r="J8" s="263">
        <f>VLOOKUP(A8,'PYExhE Data'!$A$7:$V$31,10,FALSE)</f>
        <v>2879344</v>
      </c>
      <c r="K8" s="262"/>
      <c r="L8" s="263">
        <f>VLOOKUP(A8,'PYExhE Data'!$A$7:$V$31,12,FALSE)</f>
        <v>8465890</v>
      </c>
      <c r="M8" s="263">
        <f>VLOOKUP(A8,'PYExhE Data'!$A$7:$V$31,13,FALSE)</f>
        <v>9464196</v>
      </c>
      <c r="N8" s="262"/>
      <c r="O8" s="263">
        <f>VLOOKUP(A8,'PYExhE Data'!$A$7:$V$31,15,FALSE)</f>
        <v>0</v>
      </c>
      <c r="P8" s="262"/>
      <c r="Q8" s="263">
        <f>VLOOKUP(A8,'PYExhE Data'!$A$7:$V$31,17,FALSE)</f>
        <v>7230570</v>
      </c>
      <c r="R8" s="262"/>
      <c r="S8" s="262"/>
      <c r="T8" s="263">
        <f>VLOOKUP(A8,'PYExhE Data'!$A$7:$V$31,20,FALSE)</f>
        <v>15164327</v>
      </c>
      <c r="U8" s="263">
        <f>VLOOKUP(A8,'PYExhE Data'!$A$7:$V$31,21,FALSE)</f>
        <v>5394357</v>
      </c>
      <c r="V8" s="263">
        <f>VLOOKUP(A8,'PYExhE Data'!$A$7:$V$31,22,FALSE)</f>
        <v>4590277</v>
      </c>
      <c r="W8" s="264"/>
      <c r="X8" s="264">
        <f t="shared" ref="X8:X15" si="0">SUM(D8:W8)</f>
        <v>159106430</v>
      </c>
    </row>
    <row r="9" spans="1:24" x14ac:dyDescent="0.2">
      <c r="A9" s="107">
        <v>2890</v>
      </c>
      <c r="B9" s="248">
        <v>510</v>
      </c>
      <c r="C9" s="249" t="s">
        <v>173</v>
      </c>
      <c r="D9" s="108"/>
      <c r="E9" s="262"/>
      <c r="F9" s="263">
        <f>VLOOKUP(A9,'PYExhE Data'!$A$7:$V$31,6,FALSE)</f>
        <v>0</v>
      </c>
      <c r="G9" s="263">
        <f>VLOOKUP(A9,'PYExhE Data'!$A$7:$V$31,7,FALSE)</f>
        <v>152150</v>
      </c>
      <c r="H9" s="262"/>
      <c r="I9" s="263">
        <f>VLOOKUP(A9,'PYExhE Data'!$A$7:$V$31,9,FALSE)</f>
        <v>1788888</v>
      </c>
      <c r="J9" s="263">
        <f>VLOOKUP(A9,'PYExhE Data'!$A$7:$V$31,10,FALSE)</f>
        <v>535812</v>
      </c>
      <c r="K9" s="262"/>
      <c r="L9" s="263">
        <f>VLOOKUP(A9,'PYExhE Data'!$A$7:$V$31,12,FALSE)</f>
        <v>0</v>
      </c>
      <c r="M9" s="263">
        <f>VLOOKUP(A9,'PYExhE Data'!$A$7:$V$31,13,FALSE)</f>
        <v>0</v>
      </c>
      <c r="N9" s="262"/>
      <c r="O9" s="263">
        <f>VLOOKUP(A9,'PYExhE Data'!$A$7:$V$31,15,FALSE)</f>
        <v>0</v>
      </c>
      <c r="P9" s="262"/>
      <c r="Q9" s="263">
        <f>VLOOKUP(A9,'PYExhE Data'!$A$7:$V$31,17,FALSE)</f>
        <v>0</v>
      </c>
      <c r="R9" s="262"/>
      <c r="S9" s="262"/>
      <c r="T9" s="263">
        <f>VLOOKUP(A9,'PYExhE Data'!$A$7:$V$31,20,FALSE)</f>
        <v>0</v>
      </c>
      <c r="U9" s="263">
        <f>VLOOKUP(A9,'PYExhE Data'!$A$7:$V$31,21,FALSE)</f>
        <v>0</v>
      </c>
      <c r="V9" s="263">
        <f>VLOOKUP(A9,'PYExhE Data'!$A$7:$V$31,22,FALSE)</f>
        <v>27461</v>
      </c>
      <c r="W9" s="264"/>
      <c r="X9" s="264">
        <f t="shared" si="0"/>
        <v>2504311</v>
      </c>
    </row>
    <row r="10" spans="1:24" x14ac:dyDescent="0.2">
      <c r="A10" s="107">
        <v>2900</v>
      </c>
      <c r="B10" s="248">
        <v>520</v>
      </c>
      <c r="C10" s="249" t="s">
        <v>174</v>
      </c>
      <c r="D10" s="108"/>
      <c r="E10" s="262"/>
      <c r="F10" s="263">
        <f>VLOOKUP(A10,'PYExhE Data'!$A$7:$V$31,6,FALSE)</f>
        <v>26532725</v>
      </c>
      <c r="G10" s="263">
        <f>VLOOKUP(A10,'PYExhE Data'!$A$7:$V$31,7,FALSE)</f>
        <v>31712732</v>
      </c>
      <c r="H10" s="262"/>
      <c r="I10" s="263">
        <f>VLOOKUP(A10,'PYExhE Data'!$A$7:$V$31,9,FALSE)</f>
        <v>11710228</v>
      </c>
      <c r="J10" s="263">
        <f>VLOOKUP(A10,'PYExhE Data'!$A$7:$V$31,10,FALSE)</f>
        <v>340852</v>
      </c>
      <c r="K10" s="262"/>
      <c r="L10" s="263">
        <f>VLOOKUP(A10,'PYExhE Data'!$A$7:$V$31,12,FALSE)</f>
        <v>5204127</v>
      </c>
      <c r="M10" s="263">
        <f>VLOOKUP(A10,'PYExhE Data'!$A$7:$V$31,13,FALSE)</f>
        <v>45045</v>
      </c>
      <c r="N10" s="262"/>
      <c r="O10" s="263">
        <f>VLOOKUP(A10,'PYExhE Data'!$A$7:$V$31,15,FALSE)</f>
        <v>0</v>
      </c>
      <c r="P10" s="262"/>
      <c r="Q10" s="263">
        <f>VLOOKUP(A10,'PYExhE Data'!$A$7:$V$31,17,FALSE)</f>
        <v>0</v>
      </c>
      <c r="R10" s="262"/>
      <c r="S10" s="262"/>
      <c r="T10" s="263">
        <f>VLOOKUP(A10,'PYExhE Data'!$A$7:$V$31,20,FALSE)</f>
        <v>2020377</v>
      </c>
      <c r="U10" s="263">
        <f>VLOOKUP(A10,'PYExhE Data'!$A$7:$V$31,21,FALSE)</f>
        <v>2514659</v>
      </c>
      <c r="V10" s="263">
        <f>VLOOKUP(A10,'PYExhE Data'!$A$7:$V$31,22,FALSE)</f>
        <v>1565548</v>
      </c>
      <c r="W10" s="264"/>
      <c r="X10" s="264">
        <f t="shared" si="0"/>
        <v>81646293</v>
      </c>
    </row>
    <row r="11" spans="1:24" x14ac:dyDescent="0.2">
      <c r="A11" s="107">
        <v>2760</v>
      </c>
      <c r="B11" s="248">
        <v>530</v>
      </c>
      <c r="C11" s="249" t="s">
        <v>129</v>
      </c>
      <c r="D11" s="108"/>
      <c r="E11" s="262"/>
      <c r="F11" s="263">
        <f>VLOOKUP(A11,'PYExhE Data'!$A$7:$V$31,6,FALSE)</f>
        <v>151879492</v>
      </c>
      <c r="G11" s="263">
        <f>VLOOKUP(A11,'PYExhE Data'!$A$7:$V$31,7,FALSE)</f>
        <v>92149401</v>
      </c>
      <c r="H11" s="262"/>
      <c r="I11" s="263">
        <f>VLOOKUP(A11,'PYExhE Data'!$A$7:$V$31,9,FALSE)</f>
        <v>18085706</v>
      </c>
      <c r="J11" s="263">
        <f>VLOOKUP(A11,'PYExhE Data'!$A$7:$V$31,10,FALSE)</f>
        <v>5891421</v>
      </c>
      <c r="K11" s="262"/>
      <c r="L11" s="263">
        <f>VLOOKUP(A11,'PYExhE Data'!$A$7:$V$31,12,FALSE)</f>
        <v>25807018</v>
      </c>
      <c r="M11" s="263">
        <f>VLOOKUP(A11,'PYExhE Data'!$A$7:$V$31,13,FALSE)</f>
        <v>2779094</v>
      </c>
      <c r="N11" s="262"/>
      <c r="O11" s="263">
        <f>VLOOKUP(A11,'PYExhE Data'!$A$7:$V$31,15,FALSE)</f>
        <v>0</v>
      </c>
      <c r="P11" s="262"/>
      <c r="Q11" s="263">
        <f>VLOOKUP(A11,'PYExhE Data'!$A$7:$V$31,17,FALSE)</f>
        <v>6898292</v>
      </c>
      <c r="R11" s="262"/>
      <c r="S11" s="262"/>
      <c r="T11" s="263">
        <f>VLOOKUP(A11,'PYExhE Data'!$A$7:$V$31,20,FALSE)</f>
        <v>3799646</v>
      </c>
      <c r="U11" s="263">
        <f>VLOOKUP(A11,'PYExhE Data'!$A$7:$V$31,21,FALSE)</f>
        <v>10746741</v>
      </c>
      <c r="V11" s="263">
        <f>VLOOKUP(A11,'PYExhE Data'!$A$7:$V$31,22,FALSE)</f>
        <v>2928774</v>
      </c>
      <c r="W11" s="264"/>
      <c r="X11" s="264">
        <f t="shared" si="0"/>
        <v>320965585</v>
      </c>
    </row>
    <row r="12" spans="1:24" x14ac:dyDescent="0.2">
      <c r="A12" s="107">
        <v>2310</v>
      </c>
      <c r="B12" s="248">
        <v>540</v>
      </c>
      <c r="C12" s="249" t="s">
        <v>131</v>
      </c>
      <c r="D12" s="108"/>
      <c r="E12" s="262"/>
      <c r="F12" s="263">
        <f>VLOOKUP(A12,'PYExhE Data'!$A$7:$V$31,6,FALSE)</f>
        <v>0</v>
      </c>
      <c r="G12" s="263">
        <f>VLOOKUP(A12,'PYExhE Data'!$A$7:$V$31,7,FALSE)</f>
        <v>0</v>
      </c>
      <c r="H12" s="262"/>
      <c r="I12" s="263">
        <f>VLOOKUP(A12,'PYExhE Data'!$A$7:$V$31,9,FALSE)</f>
        <v>0</v>
      </c>
      <c r="J12" s="263">
        <f>VLOOKUP(A12,'PYExhE Data'!$A$7:$V$31,10,FALSE)</f>
        <v>327405</v>
      </c>
      <c r="K12" s="262"/>
      <c r="L12" s="263">
        <f>VLOOKUP(A12,'PYExhE Data'!$A$7:$V$31,12,FALSE)</f>
        <v>0</v>
      </c>
      <c r="M12" s="263">
        <f>VLOOKUP(A12,'PYExhE Data'!$A$7:$V$31,13,FALSE)</f>
        <v>166348</v>
      </c>
      <c r="N12" s="262"/>
      <c r="O12" s="263">
        <f>VLOOKUP(A12,'PYExhE Data'!$A$7:$V$31,15,FALSE)</f>
        <v>0</v>
      </c>
      <c r="P12" s="262"/>
      <c r="Q12" s="263">
        <f>VLOOKUP(A12,'PYExhE Data'!$A$7:$V$31,17,FALSE)</f>
        <v>0</v>
      </c>
      <c r="R12" s="262"/>
      <c r="S12" s="262"/>
      <c r="T12" s="263">
        <f>VLOOKUP(A12,'PYExhE Data'!$A$7:$V$31,20,FALSE)</f>
        <v>0</v>
      </c>
      <c r="U12" s="263">
        <f>VLOOKUP(A12,'PYExhE Data'!$A$7:$V$31,21,FALSE)</f>
        <v>0</v>
      </c>
      <c r="V12" s="263">
        <f>VLOOKUP(A12,'PYExhE Data'!$A$7:$V$31,22,FALSE)</f>
        <v>0</v>
      </c>
      <c r="W12" s="264"/>
      <c r="X12" s="264">
        <f t="shared" si="0"/>
        <v>493753</v>
      </c>
    </row>
    <row r="13" spans="1:24" x14ac:dyDescent="0.2">
      <c r="A13" s="107">
        <v>2420</v>
      </c>
      <c r="B13" s="248">
        <v>550</v>
      </c>
      <c r="C13" s="249" t="s">
        <v>313</v>
      </c>
      <c r="D13" s="108"/>
      <c r="E13" s="262"/>
      <c r="F13" s="263">
        <f>VLOOKUP(A13,'PYExhE Data'!$A$7:$V$31,6,FALSE)</f>
        <v>0</v>
      </c>
      <c r="G13" s="263">
        <f>VLOOKUP(A13,'PYExhE Data'!$A$7:$V$31,7,FALSE)</f>
        <v>0</v>
      </c>
      <c r="H13" s="262"/>
      <c r="I13" s="263">
        <f>VLOOKUP(A13,'PYExhE Data'!$A$7:$V$31,9,FALSE)</f>
        <v>0</v>
      </c>
      <c r="J13" s="263">
        <f>VLOOKUP(A13,'PYExhE Data'!$A$7:$V$31,10,FALSE)</f>
        <v>206969</v>
      </c>
      <c r="K13" s="262"/>
      <c r="L13" s="263">
        <f>VLOOKUP(A13,'PYExhE Data'!$A$7:$V$31,12,FALSE)</f>
        <v>0</v>
      </c>
      <c r="M13" s="263">
        <f>VLOOKUP(A13,'PYExhE Data'!$A$7:$V$31,13,FALSE)</f>
        <v>25263872</v>
      </c>
      <c r="N13" s="262"/>
      <c r="O13" s="263">
        <f>VLOOKUP(A13,'PYExhE Data'!$A$7:$V$31,15,FALSE)</f>
        <v>0</v>
      </c>
      <c r="P13" s="262"/>
      <c r="Q13" s="263">
        <f>VLOOKUP(A13,'PYExhE Data'!$A$7:$V$31,17,FALSE)</f>
        <v>3167763</v>
      </c>
      <c r="R13" s="262"/>
      <c r="S13" s="262"/>
      <c r="T13" s="263">
        <f>VLOOKUP(A13,'PYExhE Data'!$A$7:$V$31,20,FALSE)</f>
        <v>29152</v>
      </c>
      <c r="U13" s="263">
        <f>VLOOKUP(A13,'PYExhE Data'!$A$7:$V$31,21,FALSE)</f>
        <v>0</v>
      </c>
      <c r="V13" s="263">
        <f>VLOOKUP(A13,'PYExhE Data'!$A$7:$V$31,22,FALSE)</f>
        <v>0</v>
      </c>
      <c r="W13" s="264"/>
      <c r="X13" s="264">
        <f t="shared" si="0"/>
        <v>28667756</v>
      </c>
    </row>
    <row r="14" spans="1:24" x14ac:dyDescent="0.2">
      <c r="A14" s="107">
        <v>2740</v>
      </c>
      <c r="B14" s="248">
        <v>555</v>
      </c>
      <c r="C14" s="249" t="s">
        <v>133</v>
      </c>
      <c r="D14" s="108"/>
      <c r="E14" s="262"/>
      <c r="F14" s="263">
        <f>VLOOKUP(A14,'PYExhE Data'!$A$7:$V$31,6,FALSE)</f>
        <v>0</v>
      </c>
      <c r="G14" s="263">
        <f>VLOOKUP(A14,'PYExhE Data'!$A$7:$V$31,7,FALSE)</f>
        <v>0</v>
      </c>
      <c r="H14" s="262"/>
      <c r="I14" s="263">
        <f>VLOOKUP(A14,'PYExhE Data'!$A$7:$V$31,9,FALSE)</f>
        <v>0</v>
      </c>
      <c r="J14" s="263">
        <f>VLOOKUP(A14,'PYExhE Data'!$A$7:$V$31,10,FALSE)</f>
        <v>0</v>
      </c>
      <c r="K14" s="262"/>
      <c r="L14" s="263">
        <f>VLOOKUP(A14,'PYExhE Data'!$A$7:$V$31,12,FALSE)</f>
        <v>0</v>
      </c>
      <c r="M14" s="263">
        <f>VLOOKUP(A14,'PYExhE Data'!$A$7:$V$31,13,FALSE)</f>
        <v>0</v>
      </c>
      <c r="N14" s="262"/>
      <c r="O14" s="263">
        <f>VLOOKUP(A14,'PYExhE Data'!$A$7:$V$31,15,FALSE)</f>
        <v>0</v>
      </c>
      <c r="P14" s="262"/>
      <c r="Q14" s="263">
        <f>VLOOKUP(A14,'PYExhE Data'!$A$7:$V$31,17,FALSE)</f>
        <v>0</v>
      </c>
      <c r="R14" s="262"/>
      <c r="S14" s="262"/>
      <c r="T14" s="263">
        <f>VLOOKUP(A14,'PYExhE Data'!$A$7:$V$31,20,FALSE)</f>
        <v>0</v>
      </c>
      <c r="U14" s="263">
        <f>VLOOKUP(A14,'PYExhE Data'!$A$7:$V$31,21,FALSE)</f>
        <v>0</v>
      </c>
      <c r="V14" s="263">
        <f>VLOOKUP(A14,'PYExhE Data'!$A$7:$V$31,22,FALSE)</f>
        <v>0</v>
      </c>
      <c r="W14" s="264"/>
      <c r="X14" s="264">
        <f>SUM(D14:W14)</f>
        <v>0</v>
      </c>
    </row>
    <row r="15" spans="1:24" x14ac:dyDescent="0.2">
      <c r="A15" s="107">
        <v>2800</v>
      </c>
      <c r="B15" s="248">
        <v>560</v>
      </c>
      <c r="C15" s="249" t="s">
        <v>518</v>
      </c>
      <c r="D15" s="108"/>
      <c r="E15" s="262"/>
      <c r="F15" s="263">
        <f>VLOOKUP(A15,'PYExhE Data'!$A$7:$V$31,6,FALSE)</f>
        <v>904417</v>
      </c>
      <c r="G15" s="263">
        <f>VLOOKUP(A15,'PYExhE Data'!$A$7:$V$31,7,FALSE)</f>
        <v>14097282</v>
      </c>
      <c r="H15" s="262"/>
      <c r="I15" s="263">
        <f>VLOOKUP(A15,'PYExhE Data'!$A$7:$V$31,9,FALSE)</f>
        <v>930918</v>
      </c>
      <c r="J15" s="263">
        <f>VLOOKUP(A15,'PYExhE Data'!$A$7:$V$31,10,FALSE)</f>
        <v>65311</v>
      </c>
      <c r="K15" s="262"/>
      <c r="L15" s="263">
        <f>VLOOKUP(A15,'PYExhE Data'!$A$7:$V$31,12,FALSE)</f>
        <v>5774674</v>
      </c>
      <c r="M15" s="263">
        <f>VLOOKUP(A15,'PYExhE Data'!$A$7:$V$31,13,FALSE)</f>
        <v>3753622</v>
      </c>
      <c r="N15" s="262"/>
      <c r="O15" s="263">
        <f>VLOOKUP(A15,'PYExhE Data'!$A$7:$V$31,15,FALSE)</f>
        <v>0</v>
      </c>
      <c r="P15" s="262"/>
      <c r="Q15" s="263">
        <f>VLOOKUP(A15,'PYExhE Data'!$A$7:$V$31,17,FALSE)</f>
        <v>317964</v>
      </c>
      <c r="R15" s="262"/>
      <c r="S15" s="262"/>
      <c r="T15" s="263">
        <f>VLOOKUP(A15,'PYExhE Data'!$A$7:$V$31,20,FALSE)</f>
        <v>2162246</v>
      </c>
      <c r="U15" s="263">
        <f>VLOOKUP(A15,'PYExhE Data'!$A$7:$V$31,21,FALSE)</f>
        <v>215685</v>
      </c>
      <c r="V15" s="263">
        <f>VLOOKUP(A15,'PYExhE Data'!$A$7:$V$31,22,FALSE)</f>
        <v>2123</v>
      </c>
      <c r="W15" s="264"/>
      <c r="X15" s="264">
        <f t="shared" si="0"/>
        <v>28224242</v>
      </c>
    </row>
    <row r="16" spans="1:24" x14ac:dyDescent="0.2">
      <c r="A16" s="107"/>
      <c r="B16" s="248"/>
      <c r="C16" s="250" t="s">
        <v>135</v>
      </c>
      <c r="D16" s="108"/>
      <c r="E16" s="265">
        <f t="shared" ref="E16:V16" si="1">SUM(E7:E15)</f>
        <v>0</v>
      </c>
      <c r="F16" s="266">
        <f t="shared" si="1"/>
        <v>251593060</v>
      </c>
      <c r="G16" s="266">
        <f t="shared" si="1"/>
        <v>160522277</v>
      </c>
      <c r="H16" s="266">
        <f t="shared" si="1"/>
        <v>0</v>
      </c>
      <c r="I16" s="266">
        <f t="shared" si="1"/>
        <v>44443601</v>
      </c>
      <c r="J16" s="266">
        <f t="shared" si="1"/>
        <v>10840373</v>
      </c>
      <c r="K16" s="266">
        <f t="shared" si="1"/>
        <v>0</v>
      </c>
      <c r="L16" s="266">
        <f t="shared" si="1"/>
        <v>45251709</v>
      </c>
      <c r="M16" s="266">
        <f t="shared" si="1"/>
        <v>41472177</v>
      </c>
      <c r="N16" s="266">
        <f t="shared" si="1"/>
        <v>0</v>
      </c>
      <c r="O16" s="266">
        <f t="shared" si="1"/>
        <v>0</v>
      </c>
      <c r="P16" s="266">
        <f t="shared" si="1"/>
        <v>0</v>
      </c>
      <c r="Q16" s="266">
        <f t="shared" si="1"/>
        <v>17614589</v>
      </c>
      <c r="R16" s="266">
        <f t="shared" si="1"/>
        <v>0</v>
      </c>
      <c r="S16" s="266">
        <f t="shared" si="1"/>
        <v>0</v>
      </c>
      <c r="T16" s="266">
        <f t="shared" si="1"/>
        <v>23175748</v>
      </c>
      <c r="U16" s="266">
        <f t="shared" si="1"/>
        <v>19871442</v>
      </c>
      <c r="V16" s="266">
        <f t="shared" si="1"/>
        <v>9114183</v>
      </c>
      <c r="W16" s="266"/>
      <c r="X16" s="266">
        <f>SUM(X7:X15)</f>
        <v>623899159</v>
      </c>
    </row>
    <row r="17" spans="1:25" x14ac:dyDescent="0.2">
      <c r="A17" s="107"/>
      <c r="B17" s="106"/>
      <c r="C17" s="108"/>
      <c r="D17" s="108"/>
      <c r="E17" s="108"/>
      <c r="F17" s="264"/>
      <c r="G17" s="264"/>
      <c r="H17" s="264"/>
      <c r="I17" s="264"/>
      <c r="J17" s="264"/>
      <c r="K17" s="264"/>
      <c r="L17" s="264"/>
      <c r="M17" s="264"/>
      <c r="N17" s="264"/>
      <c r="O17" s="264"/>
      <c r="P17" s="264"/>
      <c r="Q17" s="264"/>
      <c r="R17" s="264"/>
      <c r="S17" s="264"/>
      <c r="T17" s="264"/>
      <c r="U17" s="264"/>
      <c r="V17" s="264"/>
      <c r="W17" s="264"/>
      <c r="X17" s="264"/>
    </row>
    <row r="18" spans="1:25" x14ac:dyDescent="0.2">
      <c r="A18" s="107"/>
      <c r="B18" s="106"/>
      <c r="C18" s="105" t="s">
        <v>315</v>
      </c>
      <c r="D18" s="108"/>
      <c r="E18" s="108"/>
      <c r="F18" s="264"/>
      <c r="G18" s="264"/>
      <c r="H18" s="264"/>
      <c r="I18" s="264"/>
      <c r="J18" s="264"/>
      <c r="K18" s="264"/>
      <c r="L18" s="264"/>
      <c r="M18" s="264"/>
      <c r="N18" s="264"/>
      <c r="O18" s="264"/>
      <c r="P18" s="264"/>
      <c r="Q18" s="264"/>
      <c r="R18" s="264"/>
      <c r="S18" s="264"/>
      <c r="T18" s="264"/>
      <c r="U18" s="264"/>
      <c r="V18" s="264"/>
      <c r="W18" s="264"/>
      <c r="X18" s="264"/>
    </row>
    <row r="19" spans="1:25" ht="14.25" x14ac:dyDescent="0.2">
      <c r="A19" s="107">
        <v>2594</v>
      </c>
      <c r="B19" s="109">
        <v>604</v>
      </c>
      <c r="C19" s="110" t="s">
        <v>519</v>
      </c>
      <c r="D19" s="111"/>
      <c r="E19" s="267"/>
      <c r="F19" s="263">
        <f>VLOOKUP(A19,'PYExhE Data'!$A$7:$V$31,6,FALSE)</f>
        <v>0</v>
      </c>
      <c r="G19" s="263">
        <f>VLOOKUP(A19,'PYExhE Data'!$A$7:$V$31,7,FALSE)</f>
        <v>4295465</v>
      </c>
      <c r="H19" s="262"/>
      <c r="I19" s="263">
        <f>VLOOKUP(A19,'PYExhE Data'!$A$7:$V$31,9,FALSE)</f>
        <v>0</v>
      </c>
      <c r="J19" s="263">
        <f>VLOOKUP(A19,'PYExhE Data'!$A$7:$V$31,10,FALSE)</f>
        <v>0</v>
      </c>
      <c r="K19" s="262"/>
      <c r="L19" s="263">
        <f>VLOOKUP(A19,'PYExhE Data'!$A$7:$V$31,12,FALSE)</f>
        <v>0</v>
      </c>
      <c r="M19" s="263">
        <f>VLOOKUP(A19,'PYExhE Data'!$A$7:$V$31,13,FALSE)</f>
        <v>5024772</v>
      </c>
      <c r="N19" s="262"/>
      <c r="O19" s="263">
        <f>VLOOKUP(A19,'PYExhE Data'!$A$7:$V$31,15,FALSE)</f>
        <v>0</v>
      </c>
      <c r="P19" s="262"/>
      <c r="Q19" s="263">
        <f>VLOOKUP(A19,'PYExhE Data'!$A$7:$V$31,17,FALSE)</f>
        <v>0</v>
      </c>
      <c r="R19" s="262"/>
      <c r="S19" s="262"/>
      <c r="T19" s="263">
        <f>VLOOKUP(A19,'PYExhE Data'!$A$7:$V$31,20,FALSE)</f>
        <v>2678018</v>
      </c>
      <c r="U19" s="263">
        <f>VLOOKUP(A19,'PYExhE Data'!$A$7:$V$31,21,FALSE)</f>
        <v>3548162</v>
      </c>
      <c r="V19" s="263">
        <f>VLOOKUP(A19,'PYExhE Data'!$A$7:$V$31,22,FALSE)</f>
        <v>0</v>
      </c>
      <c r="W19" s="111"/>
      <c r="X19" s="111">
        <f>SUM(D19:W19)</f>
        <v>15546417</v>
      </c>
    </row>
    <row r="20" spans="1:25" ht="14.25" x14ac:dyDescent="0.2">
      <c r="A20" s="107">
        <v>2595</v>
      </c>
      <c r="B20" s="109">
        <v>600</v>
      </c>
      <c r="C20" s="110" t="s">
        <v>520</v>
      </c>
      <c r="D20" s="111"/>
      <c r="E20" s="267"/>
      <c r="F20" s="263">
        <f>VLOOKUP(A20,'PYExhE Data'!$A$7:$V$31,6,FALSE)</f>
        <v>80332808</v>
      </c>
      <c r="G20" s="263">
        <f>VLOOKUP(A20,'PYExhE Data'!$A$7:$V$31,7,FALSE)</f>
        <v>55151680</v>
      </c>
      <c r="H20" s="262"/>
      <c r="I20" s="263">
        <f>VLOOKUP(A20,'PYExhE Data'!$A$7:$V$31,9,FALSE)</f>
        <v>17219719</v>
      </c>
      <c r="J20" s="263">
        <f>VLOOKUP(A20,'PYExhE Data'!$A$7:$V$31,10,FALSE)</f>
        <v>4785244</v>
      </c>
      <c r="K20" s="262"/>
      <c r="L20" s="263">
        <f>VLOOKUP(A20,'PYExhE Data'!$A$7:$V$31,12,FALSE)</f>
        <v>0</v>
      </c>
      <c r="M20" s="263">
        <f>VLOOKUP(A20,'PYExhE Data'!$A$7:$V$31,13,FALSE)</f>
        <v>0</v>
      </c>
      <c r="N20" s="262"/>
      <c r="O20" s="263">
        <f>VLOOKUP(A20,'PYExhE Data'!$A$7:$V$31,15,FALSE)</f>
        <v>0</v>
      </c>
      <c r="P20" s="262"/>
      <c r="Q20" s="263">
        <f>VLOOKUP(A20,'PYExhE Data'!$A$7:$V$31,17,FALSE)</f>
        <v>0</v>
      </c>
      <c r="R20" s="262"/>
      <c r="S20" s="262"/>
      <c r="T20" s="263">
        <f>VLOOKUP(A20,'PYExhE Data'!$A$7:$V$31,20,FALSE)</f>
        <v>2750613</v>
      </c>
      <c r="U20" s="263">
        <f>VLOOKUP(A20,'PYExhE Data'!$A$7:$V$31,21,FALSE)</f>
        <v>2809454</v>
      </c>
      <c r="V20" s="263">
        <f>VLOOKUP(A20,'PYExhE Data'!$A$7:$V$31,22,FALSE)</f>
        <v>4125835</v>
      </c>
      <c r="W20" s="111"/>
      <c r="X20" s="111">
        <f>SUM(D20:W20)</f>
        <v>167175353</v>
      </c>
    </row>
    <row r="21" spans="1:25" ht="14.25" x14ac:dyDescent="0.2">
      <c r="A21" s="107">
        <v>2596</v>
      </c>
      <c r="B21" s="109">
        <v>602</v>
      </c>
      <c r="C21" s="110" t="s">
        <v>521</v>
      </c>
      <c r="D21" s="111"/>
      <c r="E21" s="267"/>
      <c r="F21" s="263">
        <f>VLOOKUP(A21,'PYExhE Data'!$A$7:$V$31,6,FALSE)</f>
        <v>0</v>
      </c>
      <c r="G21" s="263">
        <f>VLOOKUP(A21,'PYExhE Data'!$A$7:$V$31,7,FALSE)</f>
        <v>7409388</v>
      </c>
      <c r="H21" s="262"/>
      <c r="I21" s="263">
        <f>VLOOKUP(A21,'PYExhE Data'!$A$7:$V$31,9,FALSE)</f>
        <v>9458263</v>
      </c>
      <c r="J21" s="263">
        <f>VLOOKUP(A21,'PYExhE Data'!$A$7:$V$31,10,FALSE)</f>
        <v>3452219</v>
      </c>
      <c r="K21" s="262"/>
      <c r="L21" s="263">
        <f>VLOOKUP(A21,'PYExhE Data'!$A$7:$V$31,12,FALSE)</f>
        <v>0</v>
      </c>
      <c r="M21" s="263">
        <f>VLOOKUP(A21,'PYExhE Data'!$A$7:$V$31,13,FALSE)</f>
        <v>0</v>
      </c>
      <c r="N21" s="262"/>
      <c r="O21" s="263">
        <f>VLOOKUP(A21,'PYExhE Data'!$A$7:$V$31,15,FALSE)</f>
        <v>0</v>
      </c>
      <c r="P21" s="262"/>
      <c r="Q21" s="263">
        <f>VLOOKUP(A21,'PYExhE Data'!$A$7:$V$31,17,FALSE)</f>
        <v>0</v>
      </c>
      <c r="R21" s="262"/>
      <c r="S21" s="262"/>
      <c r="T21" s="263">
        <f>VLOOKUP(A21,'PYExhE Data'!$A$7:$V$31,20,FALSE)</f>
        <v>0</v>
      </c>
      <c r="U21" s="263">
        <f>VLOOKUP(A21,'PYExhE Data'!$A$7:$V$31,21,FALSE)</f>
        <v>0</v>
      </c>
      <c r="V21" s="263">
        <f>VLOOKUP(A21,'PYExhE Data'!$A$7:$V$31,22,FALSE)</f>
        <v>2469775</v>
      </c>
      <c r="W21" s="111"/>
      <c r="X21" s="111">
        <f>SUM(D21:W21)</f>
        <v>22789645</v>
      </c>
    </row>
    <row r="22" spans="1:25" x14ac:dyDescent="0.2">
      <c r="A22" s="107">
        <v>2630</v>
      </c>
      <c r="B22" s="248">
        <v>610</v>
      </c>
      <c r="C22" s="251" t="s">
        <v>322</v>
      </c>
      <c r="D22" s="108"/>
      <c r="E22" s="268"/>
      <c r="F22" s="269">
        <f>VLOOKUP(A22,'PYExhE Data'!$A$7:$V$31,6,FALSE)</f>
        <v>33204121</v>
      </c>
      <c r="G22" s="269">
        <f>VLOOKUP(A22,'PYExhE Data'!$A$7:$V$31,7,FALSE)</f>
        <v>11337315</v>
      </c>
      <c r="H22" s="270"/>
      <c r="I22" s="269">
        <f>VLOOKUP(A22,'PYExhE Data'!$A$7:$V$31,9,FALSE)</f>
        <v>8780146</v>
      </c>
      <c r="J22" s="269">
        <f>VLOOKUP(A22,'PYExhE Data'!$A$7:$V$31,10,FALSE)</f>
        <v>3753966</v>
      </c>
      <c r="K22" s="270"/>
      <c r="L22" s="269">
        <f>VLOOKUP(A22,'PYExhE Data'!$A$7:$V$31,12,FALSE)</f>
        <v>17126385</v>
      </c>
      <c r="M22" s="269">
        <f>VLOOKUP(A22,'PYExhE Data'!$A$7:$V$31,13,FALSE)</f>
        <v>28439202</v>
      </c>
      <c r="N22" s="270"/>
      <c r="O22" s="269">
        <f>VLOOKUP(A22,'PYExhE Data'!$A$7:$V$31,15,FALSE)</f>
        <v>0</v>
      </c>
      <c r="P22" s="270"/>
      <c r="Q22" s="263">
        <f>VLOOKUP(A22,'PYExhE Data'!$A$7:$V$31,17,FALSE)</f>
        <v>8351441</v>
      </c>
      <c r="R22" s="270"/>
      <c r="S22" s="270"/>
      <c r="T22" s="263">
        <f>VLOOKUP(A22,'PYExhE Data'!$A$7:$V$31,20,FALSE)</f>
        <v>12285937</v>
      </c>
      <c r="U22" s="263">
        <f>VLOOKUP(A22,'PYExhE Data'!$A$7:$V$31,21,FALSE)</f>
        <v>737137</v>
      </c>
      <c r="V22" s="263">
        <f>VLOOKUP(A22,'PYExhE Data'!$A$7:$V$31,22,FALSE)</f>
        <v>993086</v>
      </c>
      <c r="W22" s="271"/>
      <c r="X22" s="271">
        <f>SUM(D22:W22)</f>
        <v>125008736</v>
      </c>
    </row>
    <row r="23" spans="1:25" x14ac:dyDescent="0.2">
      <c r="A23" s="107"/>
      <c r="B23" s="106"/>
      <c r="C23" s="250" t="s">
        <v>139</v>
      </c>
      <c r="D23" s="108"/>
      <c r="E23" s="272">
        <f>SUM(E19:E22)</f>
        <v>0</v>
      </c>
      <c r="F23" s="271">
        <f t="shared" ref="F23:X23" si="2">SUM(F19:F22)</f>
        <v>113536929</v>
      </c>
      <c r="G23" s="271">
        <f t="shared" si="2"/>
        <v>78193848</v>
      </c>
      <c r="H23" s="271">
        <f t="shared" si="2"/>
        <v>0</v>
      </c>
      <c r="I23" s="271">
        <f t="shared" si="2"/>
        <v>35458128</v>
      </c>
      <c r="J23" s="271">
        <f t="shared" si="2"/>
        <v>11991429</v>
      </c>
      <c r="K23" s="271">
        <f t="shared" si="2"/>
        <v>0</v>
      </c>
      <c r="L23" s="271">
        <f t="shared" si="2"/>
        <v>17126385</v>
      </c>
      <c r="M23" s="271">
        <f t="shared" si="2"/>
        <v>33463974</v>
      </c>
      <c r="N23" s="271">
        <f t="shared" si="2"/>
        <v>0</v>
      </c>
      <c r="O23" s="271">
        <f t="shared" si="2"/>
        <v>0</v>
      </c>
      <c r="P23" s="271">
        <f t="shared" si="2"/>
        <v>0</v>
      </c>
      <c r="Q23" s="271">
        <f t="shared" si="2"/>
        <v>8351441</v>
      </c>
      <c r="R23" s="271">
        <f t="shared" si="2"/>
        <v>0</v>
      </c>
      <c r="S23" s="271">
        <f t="shared" si="2"/>
        <v>0</v>
      </c>
      <c r="T23" s="271">
        <f t="shared" si="2"/>
        <v>17714568</v>
      </c>
      <c r="U23" s="271">
        <f t="shared" si="2"/>
        <v>7094753</v>
      </c>
      <c r="V23" s="271">
        <f>SUM(V19:V22)</f>
        <v>7588696</v>
      </c>
      <c r="W23" s="271"/>
      <c r="X23" s="271">
        <f t="shared" si="2"/>
        <v>330520151</v>
      </c>
    </row>
    <row r="24" spans="1:25" x14ac:dyDescent="0.2">
      <c r="F24" s="32"/>
      <c r="G24" s="32"/>
      <c r="H24" s="32"/>
      <c r="I24" s="32"/>
      <c r="J24" s="32"/>
      <c r="K24" s="32"/>
      <c r="L24" s="32"/>
      <c r="M24" s="32"/>
      <c r="N24" s="32"/>
      <c r="O24" s="32"/>
      <c r="P24" s="32"/>
      <c r="Q24" s="32"/>
      <c r="R24" s="32"/>
      <c r="S24" s="32"/>
      <c r="T24" s="32"/>
      <c r="U24" s="32"/>
      <c r="V24" s="32"/>
      <c r="W24" s="32"/>
      <c r="X24" s="32"/>
    </row>
    <row r="25" spans="1:25" x14ac:dyDescent="0.2">
      <c r="A25" s="107"/>
      <c r="B25" s="108"/>
      <c r="C25" s="249" t="s">
        <v>522</v>
      </c>
      <c r="E25" s="108">
        <f>E16-E23</f>
        <v>0</v>
      </c>
      <c r="F25" s="264">
        <f t="shared" ref="F25:X25" si="3">F16-F23</f>
        <v>138056131</v>
      </c>
      <c r="G25" s="264">
        <f t="shared" si="3"/>
        <v>82328429</v>
      </c>
      <c r="H25" s="264">
        <f t="shared" si="3"/>
        <v>0</v>
      </c>
      <c r="I25" s="264">
        <f t="shared" si="3"/>
        <v>8985473</v>
      </c>
      <c r="J25" s="264">
        <f t="shared" si="3"/>
        <v>-1151056</v>
      </c>
      <c r="K25" s="264">
        <f t="shared" si="3"/>
        <v>0</v>
      </c>
      <c r="L25" s="264">
        <f t="shared" si="3"/>
        <v>28125324</v>
      </c>
      <c r="M25" s="264">
        <f>M16-M23</f>
        <v>8008203</v>
      </c>
      <c r="N25" s="264">
        <f t="shared" si="3"/>
        <v>0</v>
      </c>
      <c r="O25" s="264">
        <f t="shared" si="3"/>
        <v>0</v>
      </c>
      <c r="P25" s="264">
        <f t="shared" si="3"/>
        <v>0</v>
      </c>
      <c r="Q25" s="264">
        <f t="shared" si="3"/>
        <v>9263148</v>
      </c>
      <c r="R25" s="264">
        <f t="shared" si="3"/>
        <v>0</v>
      </c>
      <c r="S25" s="264">
        <f t="shared" si="3"/>
        <v>0</v>
      </c>
      <c r="T25" s="264">
        <f t="shared" si="3"/>
        <v>5461180</v>
      </c>
      <c r="U25" s="264">
        <f t="shared" si="3"/>
        <v>12776689</v>
      </c>
      <c r="V25" s="264">
        <f>V16-V23</f>
        <v>1525487</v>
      </c>
      <c r="W25" s="32"/>
      <c r="X25" s="264">
        <f t="shared" si="3"/>
        <v>293379008</v>
      </c>
    </row>
    <row r="26" spans="1:25" x14ac:dyDescent="0.2">
      <c r="A26" s="107"/>
      <c r="B26" s="108"/>
      <c r="C26" s="251"/>
      <c r="F26" s="32"/>
      <c r="G26" s="32"/>
      <c r="H26" s="32"/>
      <c r="I26" s="32"/>
      <c r="J26" s="32"/>
      <c r="K26" s="32"/>
      <c r="L26" s="32"/>
      <c r="M26" s="32"/>
      <c r="N26" s="32"/>
      <c r="O26" s="32"/>
      <c r="P26" s="32"/>
      <c r="Q26" s="32"/>
      <c r="R26" s="32"/>
      <c r="S26" s="32"/>
      <c r="T26" s="32"/>
      <c r="U26" s="32"/>
      <c r="V26" s="32"/>
      <c r="W26" s="32"/>
      <c r="X26" s="32"/>
    </row>
    <row r="27" spans="1:25" x14ac:dyDescent="0.2">
      <c r="A27" s="107">
        <v>2980</v>
      </c>
      <c r="B27" s="108"/>
      <c r="C27" s="251" t="s">
        <v>523</v>
      </c>
      <c r="E27" s="273"/>
      <c r="F27" s="263">
        <f>VLOOKUP(A27,'PYExhE Data'!$A$7:$V$31,6,FALSE)</f>
        <v>1487466612</v>
      </c>
      <c r="G27" s="263">
        <f>VLOOKUP(A27,'PYExhE Data'!$A$7:$V$31,7,FALSE)</f>
        <v>925620169</v>
      </c>
      <c r="H27" s="262"/>
      <c r="I27" s="263">
        <f>VLOOKUP(A27,'PYExhE Data'!$A$7:$V$31,9,FALSE)</f>
        <v>260182706</v>
      </c>
      <c r="J27" s="263">
        <f>VLOOKUP(A27,'PYExhE Data'!$A$7:$V$31,10,FALSE)</f>
        <v>57534724</v>
      </c>
      <c r="K27" s="262"/>
      <c r="L27" s="263">
        <f>VLOOKUP(A27,'PYExhE Data'!$A$7:$V$31,12,FALSE)</f>
        <v>203811931</v>
      </c>
      <c r="M27" s="263">
        <f>VLOOKUP(A27,'PYExhE Data'!$A$7:$V$31,13,FALSE)</f>
        <v>57202204</v>
      </c>
      <c r="N27" s="262"/>
      <c r="O27" s="263">
        <f>VLOOKUP(A27,'PYExhE Data'!$A$7:$V$31,15,FALSE)</f>
        <v>0</v>
      </c>
      <c r="P27" s="262"/>
      <c r="Q27" s="263">
        <f>VLOOKUP(A27,'PYExhE Data'!$A$7:$V$31,17,FALSE)</f>
        <v>67227053</v>
      </c>
      <c r="R27" s="262"/>
      <c r="S27" s="262"/>
      <c r="T27" s="263">
        <f>VLOOKUP(A27,'PYExhE Data'!$A$7:$V$31,20,FALSE)</f>
        <v>48183667</v>
      </c>
      <c r="U27" s="263">
        <f>VLOOKUP(A27,'PYExhE Data'!$A$7:$V$31,21,FALSE)</f>
        <v>99301879</v>
      </c>
      <c r="V27" s="263">
        <f>VLOOKUP(A27,'PYExhE Data'!$A$7:$V$31,22,FALSE)</f>
        <v>41370097</v>
      </c>
      <c r="W27" s="32"/>
      <c r="X27" s="264">
        <f>SUM(D27:W27)</f>
        <v>3247901042</v>
      </c>
    </row>
    <row r="28" spans="1:25" x14ac:dyDescent="0.2">
      <c r="A28" s="107">
        <v>2990</v>
      </c>
      <c r="B28" s="108"/>
      <c r="C28" s="251" t="s">
        <v>142</v>
      </c>
      <c r="E28" s="273"/>
      <c r="F28" s="263">
        <f>VLOOKUP(A28,'PYExhE Data'!$A$7:$V$31,6,FALSE)</f>
        <v>-3045477</v>
      </c>
      <c r="G28" s="263">
        <f>VLOOKUP(A28,'PYExhE Data'!$A$7:$V$31,7,FALSE)</f>
        <v>0</v>
      </c>
      <c r="H28" s="262"/>
      <c r="I28" s="263">
        <f>VLOOKUP(A28,'PYExhE Data'!$A$7:$V$31,9,FALSE)</f>
        <v>2746431</v>
      </c>
      <c r="J28" s="263">
        <f>VLOOKUP(A28,'PYExhE Data'!$A$7:$V$31,10,FALSE)</f>
        <v>0</v>
      </c>
      <c r="K28" s="262"/>
      <c r="L28" s="263">
        <f>VLOOKUP(A28,'PYExhE Data'!$A$7:$V$31,12,FALSE)</f>
        <v>1708830</v>
      </c>
      <c r="M28" s="263">
        <f>VLOOKUP(A28,'PYExhE Data'!$A$7:$V$31,13,FALSE)</f>
        <v>-2608635</v>
      </c>
      <c r="N28" s="262"/>
      <c r="O28" s="263">
        <f>VLOOKUP(A28,'PYExhE Data'!$A$7:$V$31,15,FALSE)</f>
        <v>0</v>
      </c>
      <c r="P28" s="262"/>
      <c r="Q28" s="263">
        <f>VLOOKUP(A28,'PYExhE Data'!$A$7:$V$31,17,FALSE)</f>
        <v>0</v>
      </c>
      <c r="R28" s="262"/>
      <c r="S28" s="262"/>
      <c r="T28" s="263">
        <f>VLOOKUP(A28,'PYExhE Data'!$A$7:$V$31,20,FALSE)</f>
        <v>0</v>
      </c>
      <c r="U28" s="263">
        <f>VLOOKUP(A28,'PYExhE Data'!$A$7:$V$31,21,FALSE)</f>
        <v>-76879</v>
      </c>
      <c r="V28" s="263">
        <f>VLOOKUP(A28,'PYExhE Data'!$A$7:$V$31,22,FALSE)</f>
        <v>0</v>
      </c>
      <c r="W28" s="32"/>
      <c r="X28" s="264">
        <f>SUM(D28:W28)</f>
        <v>-1275730</v>
      </c>
    </row>
    <row r="29" spans="1:25" ht="13.5" thickBot="1" x14ac:dyDescent="0.25">
      <c r="A29" s="107">
        <v>3000</v>
      </c>
      <c r="B29" s="108"/>
      <c r="C29" s="251" t="s">
        <v>143</v>
      </c>
      <c r="E29" s="274">
        <f>SUM(E25:E28)</f>
        <v>0</v>
      </c>
      <c r="F29" s="275">
        <f t="shared" ref="F29:X29" si="4">SUM(F25:F28)</f>
        <v>1622477266</v>
      </c>
      <c r="G29" s="275">
        <f t="shared" si="4"/>
        <v>1007948598</v>
      </c>
      <c r="H29" s="275">
        <f t="shared" si="4"/>
        <v>0</v>
      </c>
      <c r="I29" s="275">
        <f t="shared" si="4"/>
        <v>271914610</v>
      </c>
      <c r="J29" s="275">
        <f t="shared" si="4"/>
        <v>56383668</v>
      </c>
      <c r="K29" s="275">
        <f t="shared" si="4"/>
        <v>0</v>
      </c>
      <c r="L29" s="275">
        <f t="shared" si="4"/>
        <v>233646085</v>
      </c>
      <c r="M29" s="275">
        <f>SUM(M25:M28)</f>
        <v>62601772</v>
      </c>
      <c r="N29" s="275">
        <f t="shared" si="4"/>
        <v>0</v>
      </c>
      <c r="O29" s="275">
        <f t="shared" si="4"/>
        <v>0</v>
      </c>
      <c r="P29" s="275">
        <f t="shared" si="4"/>
        <v>0</v>
      </c>
      <c r="Q29" s="275">
        <f t="shared" si="4"/>
        <v>76490201</v>
      </c>
      <c r="R29" s="275">
        <f t="shared" si="4"/>
        <v>0</v>
      </c>
      <c r="S29" s="275">
        <f t="shared" si="4"/>
        <v>0</v>
      </c>
      <c r="T29" s="275">
        <f t="shared" si="4"/>
        <v>53644847</v>
      </c>
      <c r="U29" s="275">
        <f t="shared" si="4"/>
        <v>112001689</v>
      </c>
      <c r="V29" s="275">
        <f>SUM(V25:V28)</f>
        <v>42895584</v>
      </c>
      <c r="W29" s="32"/>
      <c r="X29" s="275">
        <f t="shared" si="4"/>
        <v>3540004320</v>
      </c>
    </row>
    <row r="30" spans="1:25" ht="13.5" thickTop="1" x14ac:dyDescent="0.2">
      <c r="E30" s="108"/>
      <c r="F30" s="108"/>
      <c r="G30" s="108"/>
      <c r="H30" s="108"/>
      <c r="I30" s="108"/>
      <c r="J30" s="108"/>
      <c r="K30" s="108"/>
      <c r="L30" s="108"/>
      <c r="M30" s="108"/>
      <c r="N30" s="108"/>
      <c r="O30" s="108"/>
      <c r="P30" s="108"/>
      <c r="Q30" s="108"/>
      <c r="R30" s="108"/>
      <c r="S30" s="108"/>
      <c r="T30" s="108"/>
      <c r="U30" s="108"/>
      <c r="V30" s="108"/>
    </row>
    <row r="31" spans="1:25" x14ac:dyDescent="0.2">
      <c r="E31" s="276" t="str">
        <f>IF(E29='PYExhD Data'!E42,"OK","Problem")</f>
        <v>OK</v>
      </c>
      <c r="F31" s="276" t="str">
        <f>IF(F29='PYExhD Data'!F42,"OK","Problem")</f>
        <v>OK</v>
      </c>
      <c r="G31" s="276" t="str">
        <f>IF(G29='PYExhD Data'!G42,"OK","Problem")</f>
        <v>OK</v>
      </c>
      <c r="H31" s="276" t="str">
        <f>IF(H29='PYExhD Data'!H42,"OK","Problem")</f>
        <v>OK</v>
      </c>
      <c r="I31" s="276" t="str">
        <f>IF(I29='PYExhD Data'!I42,"OK","Problem")</f>
        <v>OK</v>
      </c>
      <c r="J31" s="276" t="str">
        <f>IF(J29='PYExhD Data'!J42,"OK","Problem")</f>
        <v>OK</v>
      </c>
      <c r="K31" s="276" t="str">
        <f>IF(K29='PYExhD Data'!K42,"OK","Problem")</f>
        <v>OK</v>
      </c>
      <c r="L31" s="276" t="str">
        <f>IF(L29='PYExhD Data'!L42,"OK","Problem")</f>
        <v>OK</v>
      </c>
      <c r="M31" s="276" t="str">
        <f>IF(M29='PYExhD Data'!M42,"OK","Problem")</f>
        <v>OK</v>
      </c>
      <c r="N31" s="276" t="str">
        <f>IF(N29='PYExhD Data'!N42,"OK","Problem")</f>
        <v>OK</v>
      </c>
      <c r="O31" s="276" t="str">
        <f>IF(O29='PYExhD Data'!O42,"OK","Problem")</f>
        <v>OK</v>
      </c>
      <c r="P31" s="276" t="str">
        <f>IF(P29='PYExhD Data'!P42,"OK","Problem")</f>
        <v>OK</v>
      </c>
      <c r="Q31" s="276" t="str">
        <f>IF(Q29='PYExhD Data'!Q42,"OK","Problem")</f>
        <v>OK</v>
      </c>
      <c r="R31" s="276" t="str">
        <f>IF(R29='PYExhD Data'!R42,"OK","Problem")</f>
        <v>OK</v>
      </c>
      <c r="S31" s="276" t="str">
        <f>IF(S29='PYExhD Data'!S42,"OK","Problem")</f>
        <v>OK</v>
      </c>
      <c r="T31" s="276" t="str">
        <f>IF(T29='PYExhD Data'!T42,"OK","Problem")</f>
        <v>OK</v>
      </c>
      <c r="U31" s="276" t="str">
        <f>IF(U29='PYExhD Data'!U42,"OK","Problem")</f>
        <v>OK</v>
      </c>
      <c r="V31" s="276" t="str">
        <f>IF(V29='PYExhD Data'!V42,"OK","Problem")</f>
        <v>OK</v>
      </c>
      <c r="W31" s="276" t="str">
        <f>IF(W29='PYExhD Data'!W42,"OK","Problem")</f>
        <v>OK</v>
      </c>
      <c r="X31" s="276" t="str">
        <f>IF(X29='PYExhD Data'!X42,"OK","Problem")</f>
        <v>OK</v>
      </c>
      <c r="Y31" t="s">
        <v>524</v>
      </c>
    </row>
    <row r="32" spans="1:25" x14ac:dyDescent="0.2">
      <c r="A32" s="151" t="s">
        <v>510</v>
      </c>
      <c r="E32" s="276" t="str">
        <f>IF(E29=PriorYrExhD!E42,"OK","Problem")</f>
        <v>OK</v>
      </c>
      <c r="F32" s="276" t="str">
        <f>IF(F29=PriorYrExhD!F42,"OK","Problem")</f>
        <v>OK</v>
      </c>
      <c r="G32" s="276" t="str">
        <f>IF(G29=PriorYrExhD!G42,"OK","Problem")</f>
        <v>OK</v>
      </c>
      <c r="H32" s="276" t="str">
        <f>IF(H29=PriorYrExhD!H42,"OK","Problem")</f>
        <v>OK</v>
      </c>
      <c r="I32" s="276" t="str">
        <f>IF(I29=PriorYrExhD!I42,"OK","Problem")</f>
        <v>OK</v>
      </c>
      <c r="J32" s="276" t="str">
        <f>IF(J29=PriorYrExhD!J42,"OK","Problem")</f>
        <v>OK</v>
      </c>
      <c r="K32" s="276" t="str">
        <f>IF(K29=PriorYrExhD!K42,"OK","Problem")</f>
        <v>OK</v>
      </c>
      <c r="L32" s="276" t="str">
        <f>IF(L29=PriorYrExhD!L42,"OK","Problem")</f>
        <v>OK</v>
      </c>
      <c r="M32" s="276" t="str">
        <f>IF(M29=PriorYrExhD!M42,"OK","Problem")</f>
        <v>OK</v>
      </c>
      <c r="N32" s="276" t="str">
        <f>IF(N29=PriorYrExhD!N42,"OK","Problem")</f>
        <v>OK</v>
      </c>
      <c r="O32" s="276" t="str">
        <f>IF(O29=PriorYrExhD!O42,"OK","Problem")</f>
        <v>OK</v>
      </c>
      <c r="P32" s="276" t="str">
        <f>IF(P29=PriorYrExhD!P42,"OK","Problem")</f>
        <v>OK</v>
      </c>
      <c r="Q32" s="276" t="str">
        <f>IF(Q29=PriorYrExhD!Q42,"OK","Problem")</f>
        <v>OK</v>
      </c>
      <c r="R32" s="276" t="str">
        <f>IF(R29=PriorYrExhD!R42,"OK","Problem")</f>
        <v>OK</v>
      </c>
      <c r="S32" s="276" t="str">
        <f>IF(S29=PriorYrExhD!S42,"OK","Problem")</f>
        <v>OK</v>
      </c>
      <c r="T32" s="276" t="str">
        <f>IF(T29=PriorYrExhD!T42,"OK","Problem")</f>
        <v>OK</v>
      </c>
      <c r="U32" s="276" t="str">
        <f>IF(U29=PriorYrExhD!U42,"OK","Problem")</f>
        <v>OK</v>
      </c>
      <c r="V32" s="276" t="str">
        <f>IF(V29=PriorYrExhD!V42,"OK","Problem")</f>
        <v>OK</v>
      </c>
      <c r="W32" s="276" t="str">
        <f>IF(W29=PriorYrExhD!W42,"OK","Problem")</f>
        <v>OK</v>
      </c>
      <c r="X32" s="276" t="str">
        <f>IF(X29=PriorYrExhD!X42,"OK","Problem")</f>
        <v>OK</v>
      </c>
      <c r="Y32" t="s">
        <v>525</v>
      </c>
    </row>
    <row r="33" spans="1:7" ht="13.5" x14ac:dyDescent="0.25">
      <c r="A33" s="32" t="s">
        <v>511</v>
      </c>
      <c r="B33" s="114"/>
      <c r="C33" s="114"/>
      <c r="F33" s="301"/>
      <c r="G33" s="300"/>
    </row>
    <row r="34" spans="1:7" ht="13.5" x14ac:dyDescent="0.25">
      <c r="A34" s="222" t="s">
        <v>512</v>
      </c>
      <c r="B34" s="114"/>
      <c r="C34" s="114"/>
      <c r="F34" s="301"/>
    </row>
    <row r="35" spans="1:7" ht="13.5" x14ac:dyDescent="0.25">
      <c r="A35" s="32"/>
      <c r="B35" s="114"/>
      <c r="C35" s="114"/>
    </row>
    <row r="36" spans="1:7" ht="13.5" x14ac:dyDescent="0.25">
      <c r="A36" s="32"/>
      <c r="B36" s="114"/>
      <c r="C36" s="114"/>
    </row>
    <row r="37" spans="1:7" ht="13.5" x14ac:dyDescent="0.25">
      <c r="A37" s="32"/>
      <c r="B37" s="114"/>
      <c r="C37" s="79"/>
    </row>
    <row r="38" spans="1:7" ht="13.5" x14ac:dyDescent="0.25">
      <c r="A38" s="32"/>
      <c r="B38" s="114"/>
      <c r="C38" s="114"/>
    </row>
  </sheetData>
  <sheetProtection algorithmName="SHA-512" hashValue="WHlpIlZHWYB1trYb478lxW6Mklc4DjQSdR8UjtX8F0Xv2h4V0kx3Az/nCi97RxlhNHrstmgSkW5NGedxbApkEg==" saltValue="qFNjZarMUYHZbbbbhFs1YA==" spinCount="100000" sheet="1" autoFilter="0"/>
  <pageMargins left="0.7" right="0.7" top="0.75" bottom="0.75" header="0.3" footer="0.3"/>
  <pageSetup orientation="landscape" r:id="rId1"/>
  <ignoredErrors>
    <ignoredError sqref="F7:F28 G7:G30 I7:I28 J7:J29 L7:L29 M7:M24 O7:O28 Q7:Q28 T7:T28 U7:U29 V7:V29 M26:M28" unlockedFormula="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70B64-49D7-47A4-B1FF-3F65D5B57353}">
  <sheetPr codeName="Sheet11"/>
  <dimension ref="A1:AK55"/>
  <sheetViews>
    <sheetView showGridLines="0" showRuler="0" zoomScaleNormal="100" workbookViewId="0">
      <selection activeCell="G21" sqref="G21"/>
    </sheetView>
  </sheetViews>
  <sheetFormatPr defaultColWidth="8" defaultRowHeight="12.75" x14ac:dyDescent="0.25"/>
  <cols>
    <col min="1" max="1" width="4.42578125" style="78" customWidth="1"/>
    <col min="2" max="2" width="4.7109375" style="114" customWidth="1"/>
    <col min="3" max="3" width="35.85546875" style="114" bestFit="1" customWidth="1"/>
    <col min="4" max="4" width="2.28515625" style="114" customWidth="1"/>
    <col min="5" max="5" width="6.7109375" style="114" customWidth="1"/>
    <col min="6" max="6" width="12.85546875" style="114" bestFit="1" customWidth="1"/>
    <col min="7" max="7" width="10.42578125" style="114" customWidth="1"/>
    <col min="8" max="8" width="6" style="114" customWidth="1"/>
    <col min="9" max="9" width="11.7109375" style="114" bestFit="1" customWidth="1"/>
    <col min="10" max="10" width="10.5703125" style="114" customWidth="1"/>
    <col min="11" max="11" width="7.140625" style="114" customWidth="1"/>
    <col min="12" max="13" width="10.7109375" style="114" customWidth="1"/>
    <col min="14" max="14" width="6.85546875" style="114" customWidth="1"/>
    <col min="15" max="15" width="10.5703125" style="114" customWidth="1"/>
    <col min="16" max="16" width="7" style="114" customWidth="1"/>
    <col min="17" max="17" width="10.140625" style="114" customWidth="1"/>
    <col min="18" max="18" width="6.42578125" style="114" customWidth="1"/>
    <col min="19" max="19" width="6.140625" style="114" customWidth="1"/>
    <col min="20" max="20" width="9.5703125" style="114" customWidth="1"/>
    <col min="21" max="21" width="11" style="114" bestFit="1" customWidth="1"/>
    <col min="22" max="22" width="10.5703125" style="114" customWidth="1"/>
    <col min="23" max="23" width="1.5703125" style="114" customWidth="1"/>
    <col min="24" max="24" width="11.42578125" style="97" customWidth="1"/>
    <col min="25" max="25" width="4.140625" style="97" customWidth="1"/>
    <col min="26" max="26" width="12.140625" style="97" hidden="1" customWidth="1"/>
    <col min="27" max="27" width="12.7109375" style="97" hidden="1" customWidth="1"/>
    <col min="28" max="28" width="11.42578125" style="97" hidden="1" customWidth="1"/>
    <col min="29" max="29" width="1" style="97" hidden="1" customWidth="1"/>
    <col min="30" max="30" width="11" style="97" hidden="1" customWidth="1"/>
    <col min="31" max="31" width="16" style="97" hidden="1" customWidth="1"/>
    <col min="32" max="32" width="13.140625" style="79" hidden="1" customWidth="1"/>
    <col min="33" max="33" width="9" style="114" hidden="1" customWidth="1"/>
    <col min="34" max="34" width="10.5703125" style="114" hidden="1" customWidth="1"/>
    <col min="35" max="35" width="13.140625" style="114" customWidth="1"/>
    <col min="36" max="36" width="11" style="114" customWidth="1"/>
    <col min="37" max="81" width="9.28515625" style="114" customWidth="1"/>
    <col min="82" max="16384" width="8" style="114"/>
  </cols>
  <sheetData>
    <row r="1" spans="1:36" x14ac:dyDescent="0.25">
      <c r="C1" s="115" t="s">
        <v>460</v>
      </c>
      <c r="D1" s="116"/>
    </row>
    <row r="2" spans="1:36" s="116" customFormat="1" ht="13.5" x14ac:dyDescent="0.25">
      <c r="A2" s="82"/>
      <c r="C2" s="117" t="s">
        <v>461</v>
      </c>
      <c r="E2" s="46" t="s">
        <v>462</v>
      </c>
      <c r="F2" s="46" t="s">
        <v>463</v>
      </c>
      <c r="G2" s="46" t="s">
        <v>464</v>
      </c>
      <c r="H2" s="46" t="s">
        <v>465</v>
      </c>
      <c r="I2" s="46" t="s">
        <v>466</v>
      </c>
      <c r="J2" s="46" t="s">
        <v>467</v>
      </c>
      <c r="K2" s="46" t="s">
        <v>468</v>
      </c>
      <c r="L2" s="46" t="s">
        <v>469</v>
      </c>
      <c r="M2" s="46" t="s">
        <v>470</v>
      </c>
      <c r="N2" s="46" t="s">
        <v>471</v>
      </c>
      <c r="O2" s="46" t="s">
        <v>472</v>
      </c>
      <c r="P2" s="46" t="s">
        <v>473</v>
      </c>
      <c r="Q2" s="46" t="s">
        <v>474</v>
      </c>
      <c r="R2" s="46" t="s">
        <v>475</v>
      </c>
      <c r="S2" s="46" t="s">
        <v>476</v>
      </c>
      <c r="T2" s="46" t="s">
        <v>477</v>
      </c>
      <c r="U2" s="46" t="s">
        <v>478</v>
      </c>
      <c r="V2" s="46" t="s">
        <v>479</v>
      </c>
      <c r="X2" s="98"/>
      <c r="Y2" s="98"/>
      <c r="Z2" s="587" t="s">
        <v>526</v>
      </c>
      <c r="AA2" s="587"/>
      <c r="AB2" s="587"/>
      <c r="AC2" s="587"/>
      <c r="AD2" s="587"/>
      <c r="AE2" s="587"/>
      <c r="AF2" s="587"/>
    </row>
    <row r="3" spans="1:36" s="116" customFormat="1" ht="15" x14ac:dyDescent="0.35">
      <c r="A3" s="82"/>
      <c r="C3" s="85">
        <v>45473</v>
      </c>
      <c r="D3" s="152"/>
      <c r="X3" s="98"/>
      <c r="Y3" s="98"/>
      <c r="Z3" s="73"/>
      <c r="AA3" s="73"/>
      <c r="AB3" s="73"/>
      <c r="AC3" s="98"/>
      <c r="AD3" s="98"/>
      <c r="AE3" s="98"/>
      <c r="AF3" s="153" t="s">
        <v>527</v>
      </c>
    </row>
    <row r="4" spans="1:36" s="116" customFormat="1" ht="13.5" x14ac:dyDescent="0.25">
      <c r="A4" s="82"/>
      <c r="C4" s="154"/>
      <c r="D4" s="152"/>
      <c r="M4" s="155"/>
      <c r="X4" s="98"/>
      <c r="Y4" s="98"/>
      <c r="Z4" s="73"/>
      <c r="AA4" s="73"/>
      <c r="AB4" s="73"/>
      <c r="AC4" s="98"/>
      <c r="AD4" s="98" t="s">
        <v>54</v>
      </c>
      <c r="AE4" s="98" t="s">
        <v>54</v>
      </c>
      <c r="AF4" s="156" t="s">
        <v>54</v>
      </c>
    </row>
    <row r="5" spans="1:36" s="116" customFormat="1" ht="15" x14ac:dyDescent="0.4">
      <c r="A5" s="82"/>
      <c r="C5" s="157" t="s">
        <v>528</v>
      </c>
      <c r="D5" s="152"/>
      <c r="M5" s="155"/>
      <c r="X5" s="98" t="s">
        <v>483</v>
      </c>
      <c r="Y5" s="98"/>
      <c r="Z5" s="158" t="s">
        <v>529</v>
      </c>
      <c r="AA5" s="158" t="s">
        <v>529</v>
      </c>
      <c r="AB5" s="158" t="s">
        <v>529</v>
      </c>
      <c r="AC5" s="98"/>
      <c r="AD5" s="156" t="s">
        <v>529</v>
      </c>
      <c r="AE5" s="156" t="s">
        <v>530</v>
      </c>
      <c r="AF5" s="81" t="s">
        <v>531</v>
      </c>
      <c r="AI5" s="116" t="s">
        <v>532</v>
      </c>
      <c r="AJ5" s="116" t="s">
        <v>533</v>
      </c>
    </row>
    <row r="6" spans="1:36" s="116" customFormat="1" ht="13.5" x14ac:dyDescent="0.25">
      <c r="A6" s="82"/>
      <c r="C6" s="159" t="s">
        <v>260</v>
      </c>
      <c r="E6" s="118" t="s">
        <v>484</v>
      </c>
      <c r="F6" s="118" t="s">
        <v>485</v>
      </c>
      <c r="G6" s="118" t="s">
        <v>486</v>
      </c>
      <c r="H6" s="118" t="s">
        <v>487</v>
      </c>
      <c r="I6" s="118" t="s">
        <v>488</v>
      </c>
      <c r="J6" s="118" t="s">
        <v>489</v>
      </c>
      <c r="K6" s="118" t="s">
        <v>490</v>
      </c>
      <c r="L6" s="118" t="s">
        <v>491</v>
      </c>
      <c r="M6" s="118" t="s">
        <v>492</v>
      </c>
      <c r="N6" s="118" t="s">
        <v>493</v>
      </c>
      <c r="O6" s="118" t="s">
        <v>494</v>
      </c>
      <c r="P6" s="118" t="s">
        <v>495</v>
      </c>
      <c r="Q6" s="118" t="s">
        <v>496</v>
      </c>
      <c r="R6" s="118" t="s">
        <v>497</v>
      </c>
      <c r="S6" s="118" t="s">
        <v>498</v>
      </c>
      <c r="T6" s="118" t="s">
        <v>499</v>
      </c>
      <c r="U6" s="118" t="s">
        <v>500</v>
      </c>
      <c r="V6" s="118" t="s">
        <v>501</v>
      </c>
      <c r="W6" s="118"/>
      <c r="X6" s="99" t="s">
        <v>502</v>
      </c>
      <c r="Y6" s="99"/>
      <c r="Z6" s="118" t="s">
        <v>534</v>
      </c>
      <c r="AA6" s="118" t="s">
        <v>535</v>
      </c>
      <c r="AB6" s="118" t="s">
        <v>536</v>
      </c>
      <c r="AC6" s="99"/>
      <c r="AD6" s="118" t="s">
        <v>537</v>
      </c>
      <c r="AE6" s="118" t="s">
        <v>538</v>
      </c>
      <c r="AF6" s="88" t="s">
        <v>539</v>
      </c>
      <c r="AG6" s="116" t="s">
        <v>540</v>
      </c>
    </row>
    <row r="7" spans="1:36" s="116" customFormat="1" ht="13.5" x14ac:dyDescent="0.25">
      <c r="A7" s="82">
        <v>3240</v>
      </c>
      <c r="B7" s="160">
        <v>100</v>
      </c>
      <c r="C7" s="161" t="s">
        <v>56</v>
      </c>
      <c r="E7" s="175"/>
      <c r="F7" s="254">
        <v>79992029</v>
      </c>
      <c r="G7" s="254">
        <v>70869912</v>
      </c>
      <c r="H7" s="254"/>
      <c r="I7" s="254">
        <v>38026806</v>
      </c>
      <c r="J7" s="175">
        <v>4168687</v>
      </c>
      <c r="K7" s="175"/>
      <c r="L7" s="175">
        <v>13076958</v>
      </c>
      <c r="M7" s="175">
        <v>50988076</v>
      </c>
      <c r="N7" s="175"/>
      <c r="O7" s="175">
        <v>0</v>
      </c>
      <c r="P7" s="175"/>
      <c r="Q7" s="175">
        <v>4330067</v>
      </c>
      <c r="R7" s="175"/>
      <c r="S7" s="175"/>
      <c r="T7" s="175">
        <v>4994499</v>
      </c>
      <c r="U7" s="175">
        <v>17124622</v>
      </c>
      <c r="V7" s="175">
        <v>17396508</v>
      </c>
      <c r="W7" s="176"/>
      <c r="X7" s="177">
        <f>SUM(E7:V7)</f>
        <v>300968164</v>
      </c>
      <c r="Y7" s="177"/>
      <c r="Z7" s="176"/>
      <c r="AA7" s="176"/>
      <c r="AB7" s="176"/>
      <c r="AC7" s="176"/>
      <c r="AD7" s="178">
        <v>0</v>
      </c>
      <c r="AE7" s="178">
        <v>239597503</v>
      </c>
      <c r="AF7" s="177">
        <v>239598</v>
      </c>
      <c r="AG7" s="114">
        <v>0</v>
      </c>
      <c r="AI7" s="176">
        <v>300968164</v>
      </c>
      <c r="AJ7" s="293">
        <f>+AI7-X7</f>
        <v>0</v>
      </c>
    </row>
    <row r="8" spans="1:36" ht="13.5" x14ac:dyDescent="0.25">
      <c r="A8" s="78">
        <v>3250</v>
      </c>
      <c r="B8" s="160">
        <v>105</v>
      </c>
      <c r="C8" s="161" t="s">
        <v>58</v>
      </c>
      <c r="D8" s="89"/>
      <c r="E8" s="175"/>
      <c r="F8" s="254">
        <v>1462066859</v>
      </c>
      <c r="G8" s="254">
        <v>69544669</v>
      </c>
      <c r="H8" s="254"/>
      <c r="I8" s="254">
        <v>15273763</v>
      </c>
      <c r="J8" s="175">
        <v>1209954</v>
      </c>
      <c r="K8" s="175"/>
      <c r="L8" s="175">
        <v>35618446</v>
      </c>
      <c r="M8" s="175">
        <v>12991457</v>
      </c>
      <c r="N8" s="175"/>
      <c r="O8" s="175">
        <v>0</v>
      </c>
      <c r="P8" s="175"/>
      <c r="Q8" s="175">
        <v>23865116</v>
      </c>
      <c r="R8" s="175"/>
      <c r="S8" s="175"/>
      <c r="T8" s="175">
        <v>2594621</v>
      </c>
      <c r="U8" s="175">
        <v>338231</v>
      </c>
      <c r="V8" s="175">
        <v>0</v>
      </c>
      <c r="W8" s="177"/>
      <c r="X8" s="177">
        <f t="shared" ref="X8:X18" si="0">SUM(E8:V8)</f>
        <v>1623503116</v>
      </c>
      <c r="Y8" s="177"/>
      <c r="Z8" s="177"/>
      <c r="AA8" s="177"/>
      <c r="AB8" s="177"/>
      <c r="AC8" s="177"/>
      <c r="AD8" s="178">
        <v>0</v>
      </c>
      <c r="AE8" s="178">
        <v>974286357</v>
      </c>
      <c r="AF8" s="177">
        <v>974286</v>
      </c>
      <c r="AI8" s="176">
        <v>1623503116</v>
      </c>
      <c r="AJ8" s="293">
        <f t="shared" ref="AJ8:AJ42" si="1">+AI8-X8</f>
        <v>0</v>
      </c>
    </row>
    <row r="9" spans="1:36" ht="13.5" x14ac:dyDescent="0.25">
      <c r="A9" s="78">
        <v>3270</v>
      </c>
      <c r="B9" s="160">
        <v>110</v>
      </c>
      <c r="C9" s="161" t="s">
        <v>65</v>
      </c>
      <c r="D9" s="89"/>
      <c r="E9" s="175"/>
      <c r="F9" s="254">
        <v>73462109</v>
      </c>
      <c r="G9" s="254">
        <v>30584771</v>
      </c>
      <c r="H9" s="254"/>
      <c r="I9" s="254">
        <v>13560653</v>
      </c>
      <c r="J9" s="175">
        <v>2280002</v>
      </c>
      <c r="K9" s="175"/>
      <c r="L9" s="175">
        <v>10521965</v>
      </c>
      <c r="M9" s="175">
        <v>3798864</v>
      </c>
      <c r="N9" s="175"/>
      <c r="O9" s="175">
        <v>0</v>
      </c>
      <c r="P9" s="175"/>
      <c r="Q9" s="175">
        <v>576703</v>
      </c>
      <c r="R9" s="175"/>
      <c r="S9" s="175"/>
      <c r="T9" s="175">
        <v>7270443</v>
      </c>
      <c r="U9" s="175">
        <v>5331265</v>
      </c>
      <c r="V9" s="175">
        <v>3835887</v>
      </c>
      <c r="W9" s="177"/>
      <c r="X9" s="177">
        <f t="shared" si="0"/>
        <v>151222662</v>
      </c>
      <c r="Y9" s="177"/>
      <c r="Z9" s="177"/>
      <c r="AA9" s="177">
        <v>-6407641</v>
      </c>
      <c r="AB9" s="177"/>
      <c r="AC9" s="177"/>
      <c r="AD9" s="178">
        <v>-6407641</v>
      </c>
      <c r="AE9" s="178">
        <v>111334068</v>
      </c>
      <c r="AF9" s="177">
        <v>111334</v>
      </c>
      <c r="AI9" s="176">
        <v>151222662</v>
      </c>
      <c r="AJ9" s="293">
        <f t="shared" si="1"/>
        <v>0</v>
      </c>
    </row>
    <row r="10" spans="1:36" ht="13.5" x14ac:dyDescent="0.25">
      <c r="A10" s="78">
        <v>3285</v>
      </c>
      <c r="B10" s="167">
        <v>112</v>
      </c>
      <c r="C10" s="168" t="s">
        <v>261</v>
      </c>
      <c r="D10" s="164"/>
      <c r="E10" s="179"/>
      <c r="F10" s="179">
        <v>6123295</v>
      </c>
      <c r="G10" s="179">
        <v>0</v>
      </c>
      <c r="H10" s="179"/>
      <c r="I10" s="179">
        <v>69529731</v>
      </c>
      <c r="J10" s="179">
        <v>0</v>
      </c>
      <c r="K10" s="179"/>
      <c r="L10" s="179">
        <v>0</v>
      </c>
      <c r="M10" s="179">
        <v>17112</v>
      </c>
      <c r="N10" s="179"/>
      <c r="O10" s="179">
        <v>0</v>
      </c>
      <c r="P10" s="179"/>
      <c r="Q10" s="179">
        <v>0</v>
      </c>
      <c r="R10" s="179"/>
      <c r="S10" s="179"/>
      <c r="T10" s="179">
        <v>0</v>
      </c>
      <c r="U10" s="179">
        <v>0</v>
      </c>
      <c r="V10" s="179">
        <v>240287</v>
      </c>
      <c r="W10" s="180"/>
      <c r="X10" s="180">
        <f t="shared" si="0"/>
        <v>75910425</v>
      </c>
      <c r="Y10" s="180"/>
      <c r="Z10" s="180"/>
      <c r="AA10" s="180">
        <v>6407641</v>
      </c>
      <c r="AB10" s="180"/>
      <c r="AC10" s="180"/>
      <c r="AD10" s="181">
        <v>6407641</v>
      </c>
      <c r="AE10" s="181">
        <v>12264879</v>
      </c>
      <c r="AF10" s="180">
        <v>12265</v>
      </c>
      <c r="AG10" s="165" t="s">
        <v>541</v>
      </c>
      <c r="AI10" s="176">
        <v>75910425</v>
      </c>
      <c r="AJ10" s="293">
        <f t="shared" si="1"/>
        <v>0</v>
      </c>
    </row>
    <row r="11" spans="1:36" ht="13.5" x14ac:dyDescent="0.25">
      <c r="A11" s="78">
        <v>3310</v>
      </c>
      <c r="B11" s="160">
        <v>115</v>
      </c>
      <c r="C11" s="161" t="s">
        <v>68</v>
      </c>
      <c r="D11" s="90"/>
      <c r="E11" s="175"/>
      <c r="F11" s="254">
        <v>0</v>
      </c>
      <c r="G11" s="254">
        <v>0</v>
      </c>
      <c r="H11" s="254"/>
      <c r="I11" s="254">
        <v>0</v>
      </c>
      <c r="J11" s="175">
        <v>0</v>
      </c>
      <c r="K11" s="175"/>
      <c r="L11" s="175">
        <v>0</v>
      </c>
      <c r="M11" s="175">
        <v>0</v>
      </c>
      <c r="N11" s="175"/>
      <c r="O11" s="175">
        <v>0</v>
      </c>
      <c r="P11" s="175"/>
      <c r="Q11" s="175">
        <v>0</v>
      </c>
      <c r="R11" s="175"/>
      <c r="S11" s="175"/>
      <c r="T11" s="175">
        <v>0</v>
      </c>
      <c r="U11" s="175">
        <v>0</v>
      </c>
      <c r="V11" s="175">
        <v>0</v>
      </c>
      <c r="W11" s="177"/>
      <c r="X11" s="177">
        <f t="shared" si="0"/>
        <v>0</v>
      </c>
      <c r="Y11" s="177"/>
      <c r="Z11" s="177"/>
      <c r="AA11" s="177"/>
      <c r="AB11" s="177"/>
      <c r="AC11" s="177"/>
      <c r="AD11" s="178">
        <v>0</v>
      </c>
      <c r="AE11" s="178">
        <v>0</v>
      </c>
      <c r="AF11" s="177">
        <v>0</v>
      </c>
      <c r="AI11" s="176"/>
      <c r="AJ11" s="293">
        <f t="shared" si="1"/>
        <v>0</v>
      </c>
    </row>
    <row r="12" spans="1:36" ht="13.5" x14ac:dyDescent="0.25">
      <c r="A12" s="78">
        <v>3320</v>
      </c>
      <c r="B12" s="160">
        <v>120</v>
      </c>
      <c r="C12" s="161" t="s">
        <v>262</v>
      </c>
      <c r="D12" s="91"/>
      <c r="E12" s="175"/>
      <c r="F12" s="254">
        <v>368648</v>
      </c>
      <c r="G12" s="254">
        <v>0</v>
      </c>
      <c r="H12" s="254"/>
      <c r="I12" s="254">
        <v>1799489</v>
      </c>
      <c r="J12" s="175">
        <v>157566</v>
      </c>
      <c r="K12" s="175"/>
      <c r="L12" s="175">
        <v>34761</v>
      </c>
      <c r="M12" s="175">
        <v>0</v>
      </c>
      <c r="N12" s="175"/>
      <c r="O12" s="175">
        <v>0</v>
      </c>
      <c r="P12" s="175"/>
      <c r="Q12" s="175">
        <v>8626</v>
      </c>
      <c r="R12" s="175"/>
      <c r="S12" s="175"/>
      <c r="T12" s="175">
        <v>10700</v>
      </c>
      <c r="U12" s="175">
        <v>103631</v>
      </c>
      <c r="V12" s="175">
        <v>0</v>
      </c>
      <c r="W12" s="177"/>
      <c r="X12" s="177">
        <f t="shared" si="0"/>
        <v>2483421</v>
      </c>
      <c r="Y12" s="177"/>
      <c r="Z12" s="177"/>
      <c r="AA12" s="177"/>
      <c r="AB12" s="177"/>
      <c r="AC12" s="177"/>
      <c r="AD12" s="178">
        <v>0</v>
      </c>
      <c r="AE12" s="178">
        <v>1718017</v>
      </c>
      <c r="AF12" s="177">
        <v>1718</v>
      </c>
      <c r="AI12" s="176">
        <v>2483421</v>
      </c>
      <c r="AJ12" s="293">
        <f t="shared" si="1"/>
        <v>0</v>
      </c>
    </row>
    <row r="13" spans="1:36" ht="13.5" x14ac:dyDescent="0.25">
      <c r="A13" s="78">
        <v>3340</v>
      </c>
      <c r="B13" s="160">
        <v>125</v>
      </c>
      <c r="C13" s="161" t="s">
        <v>263</v>
      </c>
      <c r="D13" s="92"/>
      <c r="E13" s="175"/>
      <c r="F13" s="254">
        <v>0</v>
      </c>
      <c r="G13" s="254">
        <v>0</v>
      </c>
      <c r="H13" s="254"/>
      <c r="I13" s="254">
        <v>0</v>
      </c>
      <c r="J13" s="175">
        <v>1664837</v>
      </c>
      <c r="K13" s="175"/>
      <c r="L13" s="175">
        <v>0</v>
      </c>
      <c r="M13" s="175">
        <v>0</v>
      </c>
      <c r="N13" s="175"/>
      <c r="O13" s="175">
        <v>0</v>
      </c>
      <c r="P13" s="175"/>
      <c r="Q13" s="175">
        <v>0</v>
      </c>
      <c r="R13" s="175"/>
      <c r="S13" s="175"/>
      <c r="T13" s="175">
        <v>0</v>
      </c>
      <c r="U13" s="175">
        <v>0</v>
      </c>
      <c r="V13" s="175">
        <v>0</v>
      </c>
      <c r="W13" s="177"/>
      <c r="X13" s="177">
        <f t="shared" si="0"/>
        <v>1664837</v>
      </c>
      <c r="Y13" s="177"/>
      <c r="Z13" s="177"/>
      <c r="AA13" s="177"/>
      <c r="AB13" s="177"/>
      <c r="AC13" s="177"/>
      <c r="AD13" s="178">
        <v>0</v>
      </c>
      <c r="AE13" s="178">
        <v>12881</v>
      </c>
      <c r="AF13" s="177">
        <v>13</v>
      </c>
      <c r="AI13" s="176">
        <v>1664837</v>
      </c>
      <c r="AJ13" s="293">
        <f t="shared" si="1"/>
        <v>0</v>
      </c>
    </row>
    <row r="14" spans="1:36" ht="13.5" x14ac:dyDescent="0.25">
      <c r="A14" s="78">
        <v>3341</v>
      </c>
      <c r="B14" s="160">
        <v>126</v>
      </c>
      <c r="C14" s="161" t="s">
        <v>766</v>
      </c>
      <c r="D14" s="92"/>
      <c r="E14" s="175"/>
      <c r="F14" s="254">
        <v>0</v>
      </c>
      <c r="G14" s="254">
        <v>0</v>
      </c>
      <c r="H14" s="254"/>
      <c r="I14" s="254">
        <v>0</v>
      </c>
      <c r="J14" s="175">
        <v>0</v>
      </c>
      <c r="K14" s="175"/>
      <c r="L14" s="175">
        <v>0</v>
      </c>
      <c r="M14" s="175">
        <v>0</v>
      </c>
      <c r="N14" s="175"/>
      <c r="O14" s="175">
        <v>0</v>
      </c>
      <c r="P14" s="175"/>
      <c r="Q14" s="175">
        <v>0</v>
      </c>
      <c r="R14" s="175"/>
      <c r="S14" s="175"/>
      <c r="T14" s="175">
        <v>0</v>
      </c>
      <c r="U14" s="175">
        <v>0</v>
      </c>
      <c r="V14" s="175">
        <v>0</v>
      </c>
      <c r="W14" s="177"/>
      <c r="X14" s="177">
        <f t="shared" si="0"/>
        <v>0</v>
      </c>
      <c r="Y14" s="177"/>
      <c r="Z14" s="177"/>
      <c r="AA14" s="177"/>
      <c r="AB14" s="177"/>
      <c r="AC14" s="177"/>
      <c r="AD14" s="178"/>
      <c r="AE14" s="178"/>
      <c r="AF14" s="177"/>
      <c r="AI14" s="176">
        <v>0</v>
      </c>
      <c r="AJ14" s="293">
        <f t="shared" si="1"/>
        <v>0</v>
      </c>
    </row>
    <row r="15" spans="1:36" ht="13.5" x14ac:dyDescent="0.25">
      <c r="A15" s="78">
        <v>3345</v>
      </c>
      <c r="B15" s="160">
        <v>128</v>
      </c>
      <c r="C15" s="161" t="s">
        <v>505</v>
      </c>
      <c r="D15" s="92"/>
      <c r="E15" s="175"/>
      <c r="F15" s="254">
        <v>0</v>
      </c>
      <c r="G15" s="254">
        <v>0</v>
      </c>
      <c r="H15" s="254"/>
      <c r="I15" s="254">
        <v>0</v>
      </c>
      <c r="J15" s="175">
        <v>0</v>
      </c>
      <c r="K15" s="175"/>
      <c r="L15" s="175">
        <v>0</v>
      </c>
      <c r="M15" s="175">
        <v>0</v>
      </c>
      <c r="N15" s="175"/>
      <c r="O15" s="175">
        <v>0</v>
      </c>
      <c r="P15" s="175"/>
      <c r="Q15" s="175">
        <v>27129286</v>
      </c>
      <c r="R15" s="175"/>
      <c r="S15" s="175"/>
      <c r="T15" s="175">
        <v>0</v>
      </c>
      <c r="U15" s="175">
        <v>0</v>
      </c>
      <c r="V15" s="175">
        <v>0</v>
      </c>
      <c r="W15" s="177"/>
      <c r="X15" s="177">
        <f t="shared" si="0"/>
        <v>27129286</v>
      </c>
      <c r="Y15" s="177"/>
      <c r="Z15" s="177"/>
      <c r="AA15" s="177"/>
      <c r="AB15" s="177"/>
      <c r="AC15" s="177"/>
      <c r="AD15" s="178">
        <v>0</v>
      </c>
      <c r="AE15" s="178">
        <v>31578965</v>
      </c>
      <c r="AF15" s="177">
        <v>31579</v>
      </c>
      <c r="AI15" s="176">
        <v>27129286</v>
      </c>
      <c r="AJ15" s="293">
        <f t="shared" si="1"/>
        <v>0</v>
      </c>
    </row>
    <row r="16" spans="1:36" ht="13.5" x14ac:dyDescent="0.25">
      <c r="A16" s="78">
        <v>3350</v>
      </c>
      <c r="B16" s="160">
        <v>130</v>
      </c>
      <c r="C16" s="161" t="s">
        <v>267</v>
      </c>
      <c r="D16" s="92"/>
      <c r="E16" s="175"/>
      <c r="F16" s="254">
        <v>0</v>
      </c>
      <c r="G16" s="254">
        <v>823931612</v>
      </c>
      <c r="H16" s="254"/>
      <c r="I16" s="254">
        <v>203036200</v>
      </c>
      <c r="J16" s="175">
        <v>48818664</v>
      </c>
      <c r="K16" s="175"/>
      <c r="L16" s="175">
        <v>172425660</v>
      </c>
      <c r="M16" s="175">
        <v>21059301</v>
      </c>
      <c r="N16" s="175"/>
      <c r="O16" s="175">
        <v>0</v>
      </c>
      <c r="P16" s="175"/>
      <c r="Q16" s="175">
        <v>43816462</v>
      </c>
      <c r="R16" s="175"/>
      <c r="S16" s="175"/>
      <c r="T16" s="175">
        <v>39246684</v>
      </c>
      <c r="U16" s="175">
        <v>88908481</v>
      </c>
      <c r="V16" s="175">
        <v>22885377</v>
      </c>
      <c r="W16" s="177"/>
      <c r="X16" s="177">
        <f t="shared" si="0"/>
        <v>1464128441</v>
      </c>
      <c r="Y16" s="177"/>
      <c r="Z16" s="177"/>
      <c r="AA16" s="177"/>
      <c r="AB16" s="177"/>
      <c r="AC16" s="177"/>
      <c r="AD16" s="178">
        <v>0</v>
      </c>
      <c r="AE16" s="178">
        <v>900072369</v>
      </c>
      <c r="AF16" s="177">
        <v>900072</v>
      </c>
      <c r="AI16" s="176">
        <v>1464128441</v>
      </c>
      <c r="AJ16" s="293">
        <f t="shared" si="1"/>
        <v>0</v>
      </c>
    </row>
    <row r="17" spans="1:36" ht="13.5" x14ac:dyDescent="0.25">
      <c r="A17" s="78">
        <v>3370</v>
      </c>
      <c r="B17" s="160">
        <v>140</v>
      </c>
      <c r="C17" s="161" t="s">
        <v>268</v>
      </c>
      <c r="D17" s="89"/>
      <c r="E17" s="175"/>
      <c r="F17" s="254">
        <v>0</v>
      </c>
      <c r="G17" s="254">
        <v>33626037</v>
      </c>
      <c r="H17" s="254"/>
      <c r="I17" s="254">
        <v>0</v>
      </c>
      <c r="J17" s="175">
        <v>795954</v>
      </c>
      <c r="K17" s="175"/>
      <c r="L17" s="175">
        <v>2332342</v>
      </c>
      <c r="M17" s="175">
        <v>12573575</v>
      </c>
      <c r="N17" s="175"/>
      <c r="O17" s="175">
        <v>0</v>
      </c>
      <c r="P17" s="175"/>
      <c r="Q17" s="175">
        <v>2985534</v>
      </c>
      <c r="R17" s="175"/>
      <c r="S17" s="175"/>
      <c r="T17" s="175">
        <v>0</v>
      </c>
      <c r="U17" s="175">
        <v>52442</v>
      </c>
      <c r="V17" s="175">
        <v>101945</v>
      </c>
      <c r="W17" s="177"/>
      <c r="X17" s="177">
        <f t="shared" si="0"/>
        <v>52467829</v>
      </c>
      <c r="Y17" s="177"/>
      <c r="Z17" s="177"/>
      <c r="AA17" s="177"/>
      <c r="AB17" s="177"/>
      <c r="AC17" s="177"/>
      <c r="AD17" s="178">
        <v>0</v>
      </c>
      <c r="AE17" s="178">
        <v>101951135</v>
      </c>
      <c r="AF17" s="177">
        <v>101951</v>
      </c>
      <c r="AI17" s="176">
        <v>52467829</v>
      </c>
      <c r="AJ17" s="293">
        <f t="shared" si="1"/>
        <v>0</v>
      </c>
    </row>
    <row r="18" spans="1:36" ht="13.5" x14ac:dyDescent="0.25">
      <c r="A18" s="78">
        <v>3380</v>
      </c>
      <c r="B18" s="160">
        <v>145</v>
      </c>
      <c r="C18" s="161" t="s">
        <v>269</v>
      </c>
      <c r="D18" s="89"/>
      <c r="E18" s="175"/>
      <c r="F18" s="254">
        <v>7980950</v>
      </c>
      <c r="G18" s="254">
        <v>5415555</v>
      </c>
      <c r="H18" s="254"/>
      <c r="I18" s="254">
        <v>106081</v>
      </c>
      <c r="J18" s="175">
        <v>2046770</v>
      </c>
      <c r="K18" s="175"/>
      <c r="L18" s="175">
        <v>2868797</v>
      </c>
      <c r="M18" s="175">
        <v>106437114</v>
      </c>
      <c r="N18" s="175"/>
      <c r="O18" s="175">
        <v>0</v>
      </c>
      <c r="P18" s="175"/>
      <c r="Q18" s="175">
        <v>2219135</v>
      </c>
      <c r="R18" s="175"/>
      <c r="S18" s="175"/>
      <c r="T18" s="175">
        <v>137481</v>
      </c>
      <c r="U18" s="175">
        <v>325895</v>
      </c>
      <c r="V18" s="175">
        <v>0</v>
      </c>
      <c r="W18" s="182"/>
      <c r="X18" s="177">
        <f t="shared" si="0"/>
        <v>127537778</v>
      </c>
      <c r="Y18" s="177"/>
      <c r="Z18" s="182"/>
      <c r="AA18" s="182"/>
      <c r="AB18" s="182"/>
      <c r="AC18" s="182"/>
      <c r="AD18" s="183">
        <v>0</v>
      </c>
      <c r="AE18" s="183">
        <v>122923476</v>
      </c>
      <c r="AF18" s="182">
        <v>122923</v>
      </c>
      <c r="AI18" s="176">
        <v>127537778</v>
      </c>
      <c r="AJ18" s="293">
        <f t="shared" si="1"/>
        <v>0</v>
      </c>
    </row>
    <row r="19" spans="1:36" ht="13.5" x14ac:dyDescent="0.25">
      <c r="C19" s="159" t="s">
        <v>76</v>
      </c>
      <c r="D19" s="89"/>
      <c r="E19" s="184"/>
      <c r="F19" s="295">
        <f t="shared" ref="F19:X19" si="2">SUM(F7:F18)</f>
        <v>1629993890</v>
      </c>
      <c r="G19" s="295">
        <f t="shared" si="2"/>
        <v>1033972556</v>
      </c>
      <c r="H19" s="295">
        <f t="shared" si="2"/>
        <v>0</v>
      </c>
      <c r="I19" s="295">
        <f t="shared" si="2"/>
        <v>341332723</v>
      </c>
      <c r="J19" s="184">
        <f t="shared" si="2"/>
        <v>61142434</v>
      </c>
      <c r="K19" s="184">
        <f t="shared" si="2"/>
        <v>0</v>
      </c>
      <c r="L19" s="184">
        <f t="shared" si="2"/>
        <v>236878929</v>
      </c>
      <c r="M19" s="184">
        <f t="shared" si="2"/>
        <v>207865499</v>
      </c>
      <c r="N19" s="184">
        <f t="shared" si="2"/>
        <v>0</v>
      </c>
      <c r="O19" s="184">
        <f t="shared" si="2"/>
        <v>0</v>
      </c>
      <c r="P19" s="184">
        <f t="shared" si="2"/>
        <v>0</v>
      </c>
      <c r="Q19" s="184">
        <f t="shared" si="2"/>
        <v>104930929</v>
      </c>
      <c r="R19" s="184">
        <f t="shared" si="2"/>
        <v>0</v>
      </c>
      <c r="S19" s="184">
        <f t="shared" si="2"/>
        <v>0</v>
      </c>
      <c r="T19" s="184">
        <f t="shared" si="2"/>
        <v>54254428</v>
      </c>
      <c r="U19" s="184">
        <f t="shared" si="2"/>
        <v>112184567</v>
      </c>
      <c r="V19" s="184">
        <f t="shared" si="2"/>
        <v>44460004</v>
      </c>
      <c r="W19" s="184">
        <f t="shared" si="2"/>
        <v>0</v>
      </c>
      <c r="X19" s="184">
        <f t="shared" si="2"/>
        <v>3827015959</v>
      </c>
      <c r="Y19" s="184"/>
      <c r="Z19" s="184">
        <v>0</v>
      </c>
      <c r="AA19" s="184">
        <v>0</v>
      </c>
      <c r="AB19" s="184">
        <v>0</v>
      </c>
      <c r="AC19" s="185"/>
      <c r="AD19" s="186">
        <v>0</v>
      </c>
      <c r="AE19" s="186">
        <v>2495739650</v>
      </c>
      <c r="AF19" s="185">
        <v>2495739</v>
      </c>
      <c r="AI19" s="176">
        <f>SUM(AI7:AI18)</f>
        <v>3827015959</v>
      </c>
      <c r="AJ19" s="293">
        <f t="shared" si="1"/>
        <v>0</v>
      </c>
    </row>
    <row r="20" spans="1:36" ht="6" customHeight="1" x14ac:dyDescent="0.25">
      <c r="C20" s="89"/>
      <c r="D20" s="89"/>
      <c r="E20" s="177"/>
      <c r="F20" s="296"/>
      <c r="G20" s="296"/>
      <c r="H20" s="296"/>
      <c r="I20" s="296"/>
      <c r="J20" s="177"/>
      <c r="K20" s="177"/>
      <c r="L20" s="177"/>
      <c r="M20" s="177"/>
      <c r="N20" s="177"/>
      <c r="O20" s="177"/>
      <c r="P20" s="177"/>
      <c r="Q20" s="177"/>
      <c r="R20" s="177"/>
      <c r="S20" s="177"/>
      <c r="T20" s="177"/>
      <c r="U20" s="177"/>
      <c r="V20" s="177"/>
      <c r="W20" s="177"/>
      <c r="X20" s="177"/>
      <c r="Y20" s="177"/>
      <c r="Z20" s="177"/>
      <c r="AA20" s="177"/>
      <c r="AB20" s="177"/>
      <c r="AC20" s="177"/>
      <c r="AD20" s="178"/>
      <c r="AE20" s="178"/>
      <c r="AF20" s="177"/>
      <c r="AI20" s="176"/>
      <c r="AJ20" s="293">
        <f t="shared" si="1"/>
        <v>0</v>
      </c>
    </row>
    <row r="21" spans="1:36" ht="13.5" x14ac:dyDescent="0.25">
      <c r="C21" s="159" t="s">
        <v>270</v>
      </c>
      <c r="D21" s="89"/>
      <c r="E21" s="177"/>
      <c r="F21" s="296"/>
      <c r="G21" s="296"/>
      <c r="H21" s="296"/>
      <c r="I21" s="296"/>
      <c r="J21" s="177"/>
      <c r="K21" s="177"/>
      <c r="L21" s="177"/>
      <c r="M21" s="177"/>
      <c r="N21" s="177"/>
      <c r="O21" s="177"/>
      <c r="P21" s="177"/>
      <c r="Q21" s="177"/>
      <c r="R21" s="177"/>
      <c r="S21" s="177"/>
      <c r="T21" s="177"/>
      <c r="U21" s="177"/>
      <c r="V21" s="177"/>
      <c r="W21" s="177"/>
      <c r="X21" s="177"/>
      <c r="Y21" s="177"/>
      <c r="Z21" s="177"/>
      <c r="AA21" s="177"/>
      <c r="AB21" s="177"/>
      <c r="AC21" s="177"/>
      <c r="AD21" s="177"/>
      <c r="AE21" s="178"/>
      <c r="AF21" s="187"/>
      <c r="AI21" s="176"/>
      <c r="AJ21" s="293">
        <f t="shared" si="1"/>
        <v>0</v>
      </c>
    </row>
    <row r="22" spans="1:36" ht="13.5" x14ac:dyDescent="0.25">
      <c r="A22" s="78">
        <v>3430</v>
      </c>
      <c r="B22" s="120">
        <v>200</v>
      </c>
      <c r="C22" s="161" t="s">
        <v>271</v>
      </c>
      <c r="D22" s="89"/>
      <c r="E22" s="175"/>
      <c r="F22" s="254">
        <v>3245367</v>
      </c>
      <c r="G22" s="254">
        <v>714833</v>
      </c>
      <c r="H22" s="254"/>
      <c r="I22" s="254">
        <v>4940</v>
      </c>
      <c r="J22" s="175">
        <v>400144</v>
      </c>
      <c r="K22" s="175"/>
      <c r="L22" s="175">
        <v>108102</v>
      </c>
      <c r="M22" s="175">
        <v>1756375</v>
      </c>
      <c r="N22" s="175"/>
      <c r="O22" s="175">
        <v>0</v>
      </c>
      <c r="P22" s="175"/>
      <c r="Q22" s="175">
        <v>312341</v>
      </c>
      <c r="R22" s="175"/>
      <c r="S22" s="175"/>
      <c r="T22" s="175">
        <v>373359</v>
      </c>
      <c r="U22" s="175">
        <v>147368</v>
      </c>
      <c r="V22" s="175">
        <v>55487</v>
      </c>
      <c r="W22" s="177"/>
      <c r="X22" s="177">
        <f>SUM(E22:V22)</f>
        <v>7118316</v>
      </c>
      <c r="Y22" s="177"/>
      <c r="Z22" s="177">
        <v>896912.47</v>
      </c>
      <c r="AA22" s="177"/>
      <c r="AB22" s="177"/>
      <c r="AC22" s="177"/>
      <c r="AD22" s="178">
        <v>896912</v>
      </c>
      <c r="AE22" s="178">
        <v>17334253</v>
      </c>
      <c r="AF22" s="177">
        <v>17334</v>
      </c>
      <c r="AG22" s="166"/>
      <c r="AI22" s="176">
        <v>7118316</v>
      </c>
      <c r="AJ22" s="293">
        <f t="shared" si="1"/>
        <v>0</v>
      </c>
    </row>
    <row r="23" spans="1:36" ht="15" x14ac:dyDescent="0.25">
      <c r="A23" s="78">
        <v>3432</v>
      </c>
      <c r="B23" s="167">
        <v>202</v>
      </c>
      <c r="C23" s="168" t="s">
        <v>506</v>
      </c>
      <c r="D23" s="94"/>
      <c r="E23" s="188"/>
      <c r="F23" s="302">
        <v>0</v>
      </c>
      <c r="G23" s="302">
        <v>0</v>
      </c>
      <c r="H23" s="302"/>
      <c r="I23" s="302">
        <v>0</v>
      </c>
      <c r="J23" s="188">
        <v>0</v>
      </c>
      <c r="K23" s="188"/>
      <c r="L23" s="188">
        <v>625247</v>
      </c>
      <c r="M23" s="188">
        <v>2461014</v>
      </c>
      <c r="N23" s="188"/>
      <c r="O23" s="188">
        <v>0</v>
      </c>
      <c r="P23" s="188"/>
      <c r="Q23" s="188">
        <v>0</v>
      </c>
      <c r="R23" s="188"/>
      <c r="S23" s="188"/>
      <c r="T23" s="188">
        <v>0</v>
      </c>
      <c r="U23" s="188">
        <v>35510</v>
      </c>
      <c r="V23" s="188">
        <v>1508933</v>
      </c>
      <c r="W23" s="189"/>
      <c r="X23" s="189">
        <f t="shared" ref="X23:X31" si="3">SUM(E23:V23)</f>
        <v>4630704</v>
      </c>
      <c r="Y23" s="189"/>
      <c r="Z23" s="189">
        <v>-896912.47</v>
      </c>
      <c r="AA23" s="189"/>
      <c r="AB23" s="189"/>
      <c r="AC23" s="189"/>
      <c r="AD23" s="190">
        <v>-896912</v>
      </c>
      <c r="AE23" s="190">
        <v>7063262</v>
      </c>
      <c r="AF23" s="189">
        <v>7063</v>
      </c>
      <c r="AG23" s="165" t="s">
        <v>541</v>
      </c>
      <c r="AI23" s="176">
        <v>4630704</v>
      </c>
      <c r="AJ23" s="293">
        <f t="shared" si="1"/>
        <v>0</v>
      </c>
    </row>
    <row r="24" spans="1:36" ht="14.25" x14ac:dyDescent="0.25">
      <c r="A24" s="78">
        <v>3434</v>
      </c>
      <c r="B24" s="167">
        <v>203</v>
      </c>
      <c r="C24" s="169" t="s">
        <v>507</v>
      </c>
      <c r="D24" s="94"/>
      <c r="E24" s="188"/>
      <c r="F24" s="302">
        <v>0</v>
      </c>
      <c r="G24" s="302">
        <v>0</v>
      </c>
      <c r="H24" s="302"/>
      <c r="I24" s="302">
        <v>0</v>
      </c>
      <c r="J24" s="188">
        <v>0</v>
      </c>
      <c r="K24" s="188"/>
      <c r="L24" s="188">
        <v>0</v>
      </c>
      <c r="M24" s="188">
        <v>0</v>
      </c>
      <c r="N24" s="188"/>
      <c r="O24" s="188">
        <v>0</v>
      </c>
      <c r="P24" s="188"/>
      <c r="Q24" s="188">
        <v>0</v>
      </c>
      <c r="R24" s="188"/>
      <c r="S24" s="188"/>
      <c r="T24" s="188">
        <v>0</v>
      </c>
      <c r="U24" s="188">
        <v>0</v>
      </c>
      <c r="V24" s="188">
        <v>0</v>
      </c>
      <c r="W24" s="189"/>
      <c r="X24" s="189">
        <f t="shared" si="3"/>
        <v>0</v>
      </c>
      <c r="Y24" s="189"/>
      <c r="Z24" s="189"/>
      <c r="AA24" s="189"/>
      <c r="AB24" s="189"/>
      <c r="AC24" s="189"/>
      <c r="AD24" s="190">
        <v>0</v>
      </c>
      <c r="AE24" s="190">
        <v>0</v>
      </c>
      <c r="AF24" s="189">
        <v>0</v>
      </c>
      <c r="AG24" s="165" t="s">
        <v>541</v>
      </c>
      <c r="AI24" s="176"/>
      <c r="AJ24" s="293">
        <f t="shared" si="1"/>
        <v>0</v>
      </c>
    </row>
    <row r="25" spans="1:36" ht="13.5" x14ac:dyDescent="0.25">
      <c r="A25" s="78">
        <v>3500</v>
      </c>
      <c r="B25" s="120">
        <v>205</v>
      </c>
      <c r="C25" s="161" t="s">
        <v>81</v>
      </c>
      <c r="D25" s="95"/>
      <c r="E25" s="175"/>
      <c r="F25" s="254">
        <v>0</v>
      </c>
      <c r="G25" s="254">
        <v>12114284</v>
      </c>
      <c r="H25" s="254"/>
      <c r="I25" s="254">
        <v>2434501</v>
      </c>
      <c r="J25" s="175">
        <v>83495</v>
      </c>
      <c r="K25" s="175"/>
      <c r="L25" s="175">
        <v>51418</v>
      </c>
      <c r="M25" s="175">
        <v>0</v>
      </c>
      <c r="N25" s="175"/>
      <c r="O25" s="175">
        <v>0</v>
      </c>
      <c r="P25" s="175"/>
      <c r="Q25" s="175">
        <v>0</v>
      </c>
      <c r="R25" s="175"/>
      <c r="S25" s="175"/>
      <c r="T25" s="175">
        <v>0</v>
      </c>
      <c r="U25" s="175">
        <v>0</v>
      </c>
      <c r="V25" s="175">
        <v>0</v>
      </c>
      <c r="W25" s="177"/>
      <c r="X25" s="177">
        <f t="shared" si="3"/>
        <v>14683698</v>
      </c>
      <c r="Y25" s="177"/>
      <c r="Z25" s="177"/>
      <c r="AA25" s="177"/>
      <c r="AB25" s="177"/>
      <c r="AC25" s="177"/>
      <c r="AD25" s="178">
        <v>0</v>
      </c>
      <c r="AE25" s="178">
        <v>244598</v>
      </c>
      <c r="AF25" s="177">
        <v>245</v>
      </c>
      <c r="AI25" s="176">
        <v>14683698</v>
      </c>
      <c r="AJ25" s="293">
        <f t="shared" si="1"/>
        <v>0</v>
      </c>
    </row>
    <row r="26" spans="1:36" ht="13.5" x14ac:dyDescent="0.25">
      <c r="A26" s="78">
        <v>3550</v>
      </c>
      <c r="B26" s="120">
        <v>210</v>
      </c>
      <c r="C26" s="161" t="s">
        <v>82</v>
      </c>
      <c r="D26" s="89"/>
      <c r="E26" s="175"/>
      <c r="F26" s="254">
        <v>0</v>
      </c>
      <c r="G26" s="254">
        <v>0</v>
      </c>
      <c r="H26" s="254"/>
      <c r="I26" s="254">
        <v>858447</v>
      </c>
      <c r="J26" s="175">
        <v>0</v>
      </c>
      <c r="K26" s="175"/>
      <c r="L26" s="175">
        <v>0</v>
      </c>
      <c r="M26" s="175">
        <v>0</v>
      </c>
      <c r="N26" s="175"/>
      <c r="O26" s="175">
        <v>0</v>
      </c>
      <c r="P26" s="175"/>
      <c r="Q26" s="175">
        <v>0</v>
      </c>
      <c r="R26" s="175"/>
      <c r="S26" s="175"/>
      <c r="T26" s="175">
        <v>0</v>
      </c>
      <c r="U26" s="175">
        <v>0</v>
      </c>
      <c r="V26" s="175">
        <v>0</v>
      </c>
      <c r="W26" s="187"/>
      <c r="X26" s="177">
        <f t="shared" si="3"/>
        <v>858447</v>
      </c>
      <c r="Y26" s="177"/>
      <c r="Z26" s="187"/>
      <c r="AA26" s="187"/>
      <c r="AB26" s="187"/>
      <c r="AC26" s="187"/>
      <c r="AD26" s="178">
        <v>0</v>
      </c>
      <c r="AE26" s="178">
        <v>0</v>
      </c>
      <c r="AF26" s="177">
        <v>0</v>
      </c>
      <c r="AI26" s="176">
        <v>858447</v>
      </c>
      <c r="AJ26" s="293">
        <f t="shared" si="1"/>
        <v>0</v>
      </c>
    </row>
    <row r="27" spans="1:36" ht="13.5" x14ac:dyDescent="0.25">
      <c r="A27" s="78">
        <v>3530</v>
      </c>
      <c r="B27" s="120">
        <v>215</v>
      </c>
      <c r="C27" s="161" t="s">
        <v>83</v>
      </c>
      <c r="D27" s="89"/>
      <c r="E27" s="175"/>
      <c r="F27" s="254">
        <v>0</v>
      </c>
      <c r="G27" s="254">
        <v>0</v>
      </c>
      <c r="H27" s="254"/>
      <c r="I27" s="254">
        <v>0</v>
      </c>
      <c r="J27" s="175">
        <v>0</v>
      </c>
      <c r="K27" s="175"/>
      <c r="L27" s="175">
        <v>0</v>
      </c>
      <c r="M27" s="175">
        <v>0</v>
      </c>
      <c r="N27" s="175"/>
      <c r="O27" s="175">
        <v>0</v>
      </c>
      <c r="P27" s="175"/>
      <c r="Q27" s="175">
        <v>0</v>
      </c>
      <c r="R27" s="175"/>
      <c r="S27" s="175"/>
      <c r="T27" s="175">
        <v>0</v>
      </c>
      <c r="U27" s="175">
        <v>0</v>
      </c>
      <c r="V27" s="175">
        <v>0</v>
      </c>
      <c r="W27" s="187"/>
      <c r="X27" s="177">
        <f t="shared" si="3"/>
        <v>0</v>
      </c>
      <c r="Y27" s="177"/>
      <c r="Z27" s="187"/>
      <c r="AA27" s="187"/>
      <c r="AB27" s="187"/>
      <c r="AC27" s="187"/>
      <c r="AD27" s="178">
        <v>0</v>
      </c>
      <c r="AE27" s="178">
        <v>0</v>
      </c>
      <c r="AF27" s="177">
        <v>0</v>
      </c>
      <c r="AG27" s="114">
        <v>0</v>
      </c>
      <c r="AI27" s="176"/>
      <c r="AJ27" s="293">
        <f t="shared" si="1"/>
        <v>0</v>
      </c>
    </row>
    <row r="28" spans="1:36" ht="13.5" x14ac:dyDescent="0.25">
      <c r="A28" s="78">
        <v>3540</v>
      </c>
      <c r="B28" s="120">
        <v>220</v>
      </c>
      <c r="C28" s="161" t="s">
        <v>84</v>
      </c>
      <c r="D28" s="89"/>
      <c r="E28" s="175"/>
      <c r="F28" s="254">
        <v>0</v>
      </c>
      <c r="G28" s="254">
        <v>252589</v>
      </c>
      <c r="H28" s="254"/>
      <c r="I28" s="254">
        <v>69563</v>
      </c>
      <c r="J28" s="175">
        <v>0</v>
      </c>
      <c r="K28" s="175"/>
      <c r="L28" s="175">
        <v>0</v>
      </c>
      <c r="M28" s="175">
        <v>2530325</v>
      </c>
      <c r="N28" s="175"/>
      <c r="O28" s="175">
        <v>0</v>
      </c>
      <c r="P28" s="175"/>
      <c r="Q28" s="175">
        <v>0</v>
      </c>
      <c r="R28" s="175"/>
      <c r="S28" s="175"/>
      <c r="T28" s="175">
        <v>236222</v>
      </c>
      <c r="U28" s="175">
        <v>0</v>
      </c>
      <c r="V28" s="175">
        <v>0</v>
      </c>
      <c r="W28" s="187"/>
      <c r="X28" s="177">
        <f t="shared" si="3"/>
        <v>3088699</v>
      </c>
      <c r="Y28" s="177"/>
      <c r="Z28" s="187"/>
      <c r="AA28" s="187"/>
      <c r="AB28" s="187"/>
      <c r="AC28" s="187"/>
      <c r="AD28" s="178">
        <v>0</v>
      </c>
      <c r="AE28" s="178">
        <v>2007725</v>
      </c>
      <c r="AF28" s="177">
        <v>2008</v>
      </c>
      <c r="AI28" s="176">
        <v>3088699</v>
      </c>
      <c r="AJ28" s="293">
        <f t="shared" si="1"/>
        <v>0</v>
      </c>
    </row>
    <row r="29" spans="1:36" ht="13.5" x14ac:dyDescent="0.25">
      <c r="B29" s="120"/>
      <c r="C29" s="161" t="s">
        <v>275</v>
      </c>
      <c r="D29" s="89"/>
      <c r="E29" s="175"/>
      <c r="F29" s="254"/>
      <c r="G29" s="254"/>
      <c r="H29" s="254"/>
      <c r="I29" s="254"/>
      <c r="J29" s="175"/>
      <c r="K29" s="175"/>
      <c r="L29" s="175"/>
      <c r="M29" s="175"/>
      <c r="N29" s="175"/>
      <c r="O29" s="175"/>
      <c r="P29" s="175"/>
      <c r="Q29" s="175"/>
      <c r="R29" s="175"/>
      <c r="S29" s="175"/>
      <c r="T29" s="175"/>
      <c r="U29" s="175"/>
      <c r="V29" s="175"/>
      <c r="W29" s="187"/>
      <c r="X29" s="177">
        <f t="shared" si="3"/>
        <v>0</v>
      </c>
      <c r="Y29" s="177"/>
      <c r="Z29" s="187"/>
      <c r="AA29" s="187"/>
      <c r="AB29" s="187"/>
      <c r="AC29" s="187"/>
      <c r="AD29" s="178">
        <v>0</v>
      </c>
      <c r="AE29" s="178">
        <v>0</v>
      </c>
      <c r="AF29" s="177">
        <v>0</v>
      </c>
      <c r="AI29" s="176"/>
      <c r="AJ29" s="293">
        <f t="shared" si="1"/>
        <v>0</v>
      </c>
    </row>
    <row r="30" spans="1:36" ht="13.5" x14ac:dyDescent="0.25">
      <c r="A30" s="78">
        <v>3570</v>
      </c>
      <c r="B30" s="120">
        <v>260</v>
      </c>
      <c r="C30" s="170" t="s">
        <v>276</v>
      </c>
      <c r="D30" s="89"/>
      <c r="E30" s="175"/>
      <c r="F30" s="254">
        <v>716696</v>
      </c>
      <c r="G30" s="254">
        <v>1060225</v>
      </c>
      <c r="H30" s="254"/>
      <c r="I30" s="254">
        <v>85478</v>
      </c>
      <c r="J30" s="175">
        <v>3426422</v>
      </c>
      <c r="K30" s="175"/>
      <c r="L30" s="175">
        <v>166645</v>
      </c>
      <c r="M30" s="175">
        <v>28292228</v>
      </c>
      <c r="N30" s="175"/>
      <c r="O30" s="175">
        <v>0</v>
      </c>
      <c r="P30" s="175"/>
      <c r="Q30" s="175">
        <v>0</v>
      </c>
      <c r="R30" s="175"/>
      <c r="S30" s="175"/>
      <c r="T30" s="175">
        <v>0</v>
      </c>
      <c r="U30" s="175">
        <v>0</v>
      </c>
      <c r="V30" s="175">
        <v>0</v>
      </c>
      <c r="W30" s="187"/>
      <c r="X30" s="177">
        <f t="shared" si="3"/>
        <v>33747694</v>
      </c>
      <c r="Y30" s="177"/>
      <c r="Z30" s="187"/>
      <c r="AA30" s="187"/>
      <c r="AB30" s="187"/>
      <c r="AC30" s="187"/>
      <c r="AD30" s="178">
        <v>0</v>
      </c>
      <c r="AE30" s="178">
        <v>4448463</v>
      </c>
      <c r="AF30" s="177">
        <v>4448</v>
      </c>
      <c r="AI30" s="176">
        <v>33747694</v>
      </c>
      <c r="AJ30" s="293">
        <f t="shared" si="1"/>
        <v>0</v>
      </c>
    </row>
    <row r="31" spans="1:36" ht="13.5" x14ac:dyDescent="0.25">
      <c r="A31" s="78">
        <v>3580</v>
      </c>
      <c r="B31" s="120">
        <v>261</v>
      </c>
      <c r="C31" s="170" t="s">
        <v>278</v>
      </c>
      <c r="D31" s="89"/>
      <c r="E31" s="191"/>
      <c r="F31" s="297">
        <v>3554561</v>
      </c>
      <c r="G31" s="297">
        <v>11882027</v>
      </c>
      <c r="H31" s="297"/>
      <c r="I31" s="297">
        <v>65965184</v>
      </c>
      <c r="J31" s="191">
        <v>848705</v>
      </c>
      <c r="K31" s="191"/>
      <c r="L31" s="191">
        <v>2281432</v>
      </c>
      <c r="M31" s="191">
        <v>110223785</v>
      </c>
      <c r="N31" s="191"/>
      <c r="O31" s="191">
        <v>0</v>
      </c>
      <c r="P31" s="191"/>
      <c r="Q31" s="191">
        <v>28128387</v>
      </c>
      <c r="R31" s="191"/>
      <c r="S31" s="191"/>
      <c r="T31" s="191">
        <v>0</v>
      </c>
      <c r="U31" s="191">
        <v>0</v>
      </c>
      <c r="V31" s="191">
        <v>0</v>
      </c>
      <c r="W31" s="182"/>
      <c r="X31" s="182">
        <f t="shared" si="3"/>
        <v>222884081</v>
      </c>
      <c r="Y31" s="182"/>
      <c r="Z31" s="182"/>
      <c r="AA31" s="182"/>
      <c r="AB31" s="182"/>
      <c r="AC31" s="182"/>
      <c r="AD31" s="183">
        <v>0</v>
      </c>
      <c r="AE31" s="183">
        <v>196669837</v>
      </c>
      <c r="AF31" s="182">
        <v>196670</v>
      </c>
      <c r="AI31" s="176">
        <v>222884081</v>
      </c>
      <c r="AJ31" s="293">
        <f t="shared" si="1"/>
        <v>0</v>
      </c>
    </row>
    <row r="32" spans="1:36" ht="13.5" x14ac:dyDescent="0.25">
      <c r="C32" s="159" t="s">
        <v>92</v>
      </c>
      <c r="D32" s="79"/>
      <c r="E32" s="182"/>
      <c r="F32" s="298">
        <f>SUM(F22:F31)</f>
        <v>7516624</v>
      </c>
      <c r="G32" s="298">
        <f t="shared" ref="G32:X32" si="4">SUM(G22:G31)</f>
        <v>26023958</v>
      </c>
      <c r="H32" s="298"/>
      <c r="I32" s="298">
        <f t="shared" si="4"/>
        <v>69418113</v>
      </c>
      <c r="J32" s="182">
        <f t="shared" si="4"/>
        <v>4758766</v>
      </c>
      <c r="K32" s="182">
        <f t="shared" si="4"/>
        <v>0</v>
      </c>
      <c r="L32" s="182">
        <f t="shared" si="4"/>
        <v>3232844</v>
      </c>
      <c r="M32" s="182">
        <f t="shared" si="4"/>
        <v>145263727</v>
      </c>
      <c r="N32" s="182">
        <f t="shared" si="4"/>
        <v>0</v>
      </c>
      <c r="O32" s="182">
        <f t="shared" si="4"/>
        <v>0</v>
      </c>
      <c r="P32" s="182">
        <f t="shared" si="4"/>
        <v>0</v>
      </c>
      <c r="Q32" s="182">
        <f t="shared" si="4"/>
        <v>28440728</v>
      </c>
      <c r="R32" s="182">
        <f t="shared" si="4"/>
        <v>0</v>
      </c>
      <c r="S32" s="182">
        <f t="shared" si="4"/>
        <v>0</v>
      </c>
      <c r="T32" s="182">
        <f t="shared" si="4"/>
        <v>609581</v>
      </c>
      <c r="U32" s="182">
        <f t="shared" si="4"/>
        <v>182878</v>
      </c>
      <c r="V32" s="182">
        <f t="shared" si="4"/>
        <v>1564420</v>
      </c>
      <c r="W32" s="182">
        <f t="shared" si="4"/>
        <v>0</v>
      </c>
      <c r="X32" s="182">
        <f t="shared" si="4"/>
        <v>287011639</v>
      </c>
      <c r="Y32" s="182"/>
      <c r="Z32" s="182">
        <v>0</v>
      </c>
      <c r="AA32" s="182">
        <v>0</v>
      </c>
      <c r="AB32" s="182">
        <v>0</v>
      </c>
      <c r="AC32" s="182"/>
      <c r="AD32" s="182">
        <v>0</v>
      </c>
      <c r="AE32" s="182">
        <v>227768138</v>
      </c>
      <c r="AF32" s="182">
        <v>227768</v>
      </c>
      <c r="AI32" s="176">
        <f>SUM(AI22:AI31)</f>
        <v>287011639</v>
      </c>
      <c r="AJ32" s="293">
        <f t="shared" si="1"/>
        <v>0</v>
      </c>
    </row>
    <row r="33" spans="1:37" ht="6.75" customHeight="1" x14ac:dyDescent="0.25">
      <c r="C33" s="89"/>
      <c r="D33" s="92"/>
      <c r="E33" s="177"/>
      <c r="F33" s="296"/>
      <c r="G33" s="296"/>
      <c r="H33" s="296"/>
      <c r="I33" s="296"/>
      <c r="J33" s="177"/>
      <c r="K33" s="177"/>
      <c r="L33" s="177"/>
      <c r="M33" s="177"/>
      <c r="N33" s="177"/>
      <c r="O33" s="177"/>
      <c r="P33" s="177"/>
      <c r="Q33" s="177"/>
      <c r="R33" s="177"/>
      <c r="S33" s="177"/>
      <c r="T33" s="177"/>
      <c r="U33" s="177"/>
      <c r="V33" s="177"/>
      <c r="W33" s="177"/>
      <c r="X33" s="177"/>
      <c r="Y33" s="177"/>
      <c r="Z33" s="177"/>
      <c r="AA33" s="177"/>
      <c r="AB33" s="177"/>
      <c r="AC33" s="177"/>
      <c r="AD33" s="178"/>
      <c r="AE33" s="178"/>
      <c r="AF33" s="177"/>
      <c r="AI33" s="176"/>
      <c r="AJ33" s="293">
        <f t="shared" si="1"/>
        <v>0</v>
      </c>
    </row>
    <row r="34" spans="1:37" ht="13.5" x14ac:dyDescent="0.25">
      <c r="C34" s="159" t="s">
        <v>280</v>
      </c>
      <c r="D34" s="92"/>
      <c r="E34" s="177"/>
      <c r="F34" s="296"/>
      <c r="G34" s="296"/>
      <c r="H34" s="296"/>
      <c r="I34" s="296"/>
      <c r="J34" s="177"/>
      <c r="K34" s="177"/>
      <c r="L34" s="177"/>
      <c r="M34" s="177"/>
      <c r="N34" s="177"/>
      <c r="O34" s="177"/>
      <c r="P34" s="177"/>
      <c r="Q34" s="177"/>
      <c r="R34" s="177"/>
      <c r="S34" s="177"/>
      <c r="T34" s="177"/>
      <c r="U34" s="177"/>
      <c r="V34" s="177"/>
      <c r="W34" s="177"/>
      <c r="X34" s="177"/>
      <c r="Y34" s="177"/>
      <c r="Z34" s="177"/>
      <c r="AA34" s="177"/>
      <c r="AB34" s="177"/>
      <c r="AC34" s="177"/>
      <c r="AD34" s="178"/>
      <c r="AE34" s="178"/>
      <c r="AF34" s="177"/>
      <c r="AI34" s="176"/>
      <c r="AJ34" s="293">
        <f t="shared" si="1"/>
        <v>0</v>
      </c>
    </row>
    <row r="35" spans="1:37" ht="13.5" x14ac:dyDescent="0.25">
      <c r="A35" s="78">
        <v>3630</v>
      </c>
      <c r="C35" s="171" t="s">
        <v>197</v>
      </c>
      <c r="D35" s="92"/>
      <c r="E35" s="175"/>
      <c r="F35" s="254">
        <v>3754343</v>
      </c>
      <c r="G35" s="254">
        <v>39041592</v>
      </c>
      <c r="H35" s="254"/>
      <c r="I35" s="254">
        <v>29449</v>
      </c>
      <c r="J35" s="175">
        <v>698520</v>
      </c>
      <c r="K35" s="175"/>
      <c r="L35" s="175">
        <v>5201139</v>
      </c>
      <c r="M35" s="175">
        <v>1737728</v>
      </c>
      <c r="N35" s="175"/>
      <c r="O35" s="175">
        <v>0</v>
      </c>
      <c r="P35" s="175"/>
      <c r="Q35" s="175">
        <v>5204669</v>
      </c>
      <c r="R35" s="175"/>
      <c r="S35" s="175"/>
      <c r="T35" s="175">
        <v>137481</v>
      </c>
      <c r="U35" s="175">
        <v>378337</v>
      </c>
      <c r="V35" s="175">
        <v>101945</v>
      </c>
      <c r="W35" s="177"/>
      <c r="X35" s="177">
        <f>SUM(E35:V35)</f>
        <v>56285203</v>
      </c>
      <c r="Y35" s="177"/>
      <c r="Z35" s="177">
        <v>0</v>
      </c>
      <c r="AA35" s="177">
        <v>0</v>
      </c>
      <c r="AB35" s="177"/>
      <c r="AC35" s="177"/>
      <c r="AD35" s="178">
        <v>0</v>
      </c>
      <c r="AE35" s="178">
        <v>96013759</v>
      </c>
      <c r="AF35" s="177">
        <v>96014</v>
      </c>
      <c r="AI35" s="176">
        <v>56285203</v>
      </c>
      <c r="AJ35" s="293">
        <f t="shared" si="1"/>
        <v>0</v>
      </c>
      <c r="AK35" s="114" t="s">
        <v>542</v>
      </c>
    </row>
    <row r="36" spans="1:37" ht="13.5" x14ac:dyDescent="0.25">
      <c r="C36" s="171" t="s">
        <v>284</v>
      </c>
      <c r="D36" s="92"/>
      <c r="E36" s="175"/>
      <c r="F36" s="254"/>
      <c r="G36" s="254"/>
      <c r="H36" s="254"/>
      <c r="I36" s="254"/>
      <c r="J36" s="175"/>
      <c r="K36" s="175"/>
      <c r="L36" s="175"/>
      <c r="M36" s="175"/>
      <c r="N36" s="175"/>
      <c r="O36" s="175"/>
      <c r="P36" s="175"/>
      <c r="Q36" s="175"/>
      <c r="R36" s="175"/>
      <c r="S36" s="175"/>
      <c r="T36" s="175"/>
      <c r="U36" s="175"/>
      <c r="V36" s="175"/>
      <c r="W36" s="177"/>
      <c r="X36" s="177">
        <f t="shared" ref="X36:X41" si="5">SUM(E36:V36)</f>
        <v>0</v>
      </c>
      <c r="Y36" s="177"/>
      <c r="Z36" s="177"/>
      <c r="AA36" s="177"/>
      <c r="AB36" s="177"/>
      <c r="AC36" s="177"/>
      <c r="AD36" s="178">
        <v>0</v>
      </c>
      <c r="AE36" s="178">
        <v>0</v>
      </c>
      <c r="AF36" s="177">
        <v>0</v>
      </c>
      <c r="AI36" s="176"/>
      <c r="AJ36" s="293">
        <f t="shared" si="1"/>
        <v>0</v>
      </c>
      <c r="AK36" s="114" t="str">
        <f>+AK35</f>
        <v>OK - Classification in SmartView 3. Net Position Classification in main university folder (6. Working Trial Balance).</v>
      </c>
    </row>
    <row r="37" spans="1:37" ht="13.5" x14ac:dyDescent="0.25">
      <c r="C37" s="161" t="s">
        <v>285</v>
      </c>
      <c r="D37" s="89"/>
      <c r="E37" s="175"/>
      <c r="F37" s="254"/>
      <c r="G37" s="254"/>
      <c r="H37" s="254"/>
      <c r="I37" s="254"/>
      <c r="J37" s="175"/>
      <c r="K37" s="175"/>
      <c r="L37" s="175"/>
      <c r="M37" s="175"/>
      <c r="N37" s="175"/>
      <c r="O37" s="175"/>
      <c r="P37" s="175"/>
      <c r="Q37" s="175"/>
      <c r="R37" s="175"/>
      <c r="S37" s="175"/>
      <c r="T37" s="175"/>
      <c r="U37" s="254"/>
      <c r="V37" s="254"/>
      <c r="W37" s="177"/>
      <c r="X37" s="177">
        <f t="shared" si="5"/>
        <v>0</v>
      </c>
      <c r="Y37" s="177"/>
      <c r="Z37" s="177"/>
      <c r="AA37" s="177"/>
      <c r="AB37" s="177"/>
      <c r="AC37" s="177"/>
      <c r="AD37" s="178">
        <v>0</v>
      </c>
      <c r="AE37" s="178">
        <v>0</v>
      </c>
      <c r="AF37" s="177">
        <v>0</v>
      </c>
      <c r="AI37" s="176"/>
      <c r="AJ37" s="293">
        <f t="shared" si="1"/>
        <v>0</v>
      </c>
      <c r="AK37" s="114" t="str">
        <f t="shared" ref="AK37:AK41" si="6">+AK36</f>
        <v>OK - Classification in SmartView 3. Net Position Classification in main university folder (6. Working Trial Balance).</v>
      </c>
    </row>
    <row r="38" spans="1:37" ht="13.5" x14ac:dyDescent="0.25">
      <c r="A38" s="78">
        <v>3640</v>
      </c>
      <c r="C38" s="170" t="s">
        <v>286</v>
      </c>
      <c r="D38" s="89"/>
      <c r="E38" s="175"/>
      <c r="F38" s="254">
        <v>655136513</v>
      </c>
      <c r="G38" s="254">
        <v>490463727</v>
      </c>
      <c r="H38" s="254"/>
      <c r="I38" s="254">
        <v>110302507</v>
      </c>
      <c r="J38" s="175">
        <v>26536516</v>
      </c>
      <c r="K38" s="175"/>
      <c r="L38" s="175">
        <v>104331159</v>
      </c>
      <c r="M38" s="175">
        <v>4377801</v>
      </c>
      <c r="N38" s="175"/>
      <c r="O38" s="175">
        <v>0</v>
      </c>
      <c r="P38" s="175"/>
      <c r="Q38" s="175">
        <v>27165488</v>
      </c>
      <c r="R38" s="175"/>
      <c r="S38" s="175"/>
      <c r="T38" s="175">
        <v>28320526</v>
      </c>
      <c r="U38" s="175">
        <v>51744906</v>
      </c>
      <c r="V38" s="175">
        <v>22885377</v>
      </c>
      <c r="W38" s="177"/>
      <c r="X38" s="177">
        <f t="shared" si="5"/>
        <v>1521264520</v>
      </c>
      <c r="Y38" s="177"/>
      <c r="Z38" s="177"/>
      <c r="AA38" s="177"/>
      <c r="AB38" s="177"/>
      <c r="AC38" s="177"/>
      <c r="AD38" s="178">
        <v>0</v>
      </c>
      <c r="AE38" s="178">
        <v>1149601428</v>
      </c>
      <c r="AF38" s="177">
        <v>1149601</v>
      </c>
      <c r="AI38" s="176">
        <v>1521264520</v>
      </c>
      <c r="AJ38" s="293">
        <f t="shared" si="1"/>
        <v>0</v>
      </c>
      <c r="AK38" s="114" t="str">
        <f t="shared" si="6"/>
        <v>OK - Classification in SmartView 3. Net Position Classification in main university folder (6. Working Trial Balance).</v>
      </c>
    </row>
    <row r="39" spans="1:37" ht="13.5" x14ac:dyDescent="0.25">
      <c r="C39" s="161" t="s">
        <v>289</v>
      </c>
      <c r="D39" s="89"/>
      <c r="E39" s="175"/>
      <c r="F39" s="254"/>
      <c r="G39" s="254"/>
      <c r="H39" s="254"/>
      <c r="I39" s="254"/>
      <c r="J39" s="175"/>
      <c r="K39" s="175"/>
      <c r="L39" s="175"/>
      <c r="M39" s="175"/>
      <c r="N39" s="175"/>
      <c r="O39" s="175"/>
      <c r="P39" s="175"/>
      <c r="Q39" s="175"/>
      <c r="R39" s="175"/>
      <c r="S39" s="175"/>
      <c r="T39" s="175"/>
      <c r="U39" s="175"/>
      <c r="V39" s="175"/>
      <c r="W39" s="177"/>
      <c r="X39" s="177">
        <f t="shared" si="5"/>
        <v>0</v>
      </c>
      <c r="Y39" s="177"/>
      <c r="Z39" s="177"/>
      <c r="AA39" s="177"/>
      <c r="AB39" s="177"/>
      <c r="AC39" s="177"/>
      <c r="AD39" s="178">
        <v>0</v>
      </c>
      <c r="AE39" s="178">
        <v>0</v>
      </c>
      <c r="AF39" s="177">
        <v>0</v>
      </c>
      <c r="AI39" s="176"/>
      <c r="AJ39" s="293">
        <f t="shared" si="1"/>
        <v>0</v>
      </c>
      <c r="AK39" s="114" t="str">
        <f t="shared" si="6"/>
        <v>OK - Classification in SmartView 3. Net Position Classification in main university folder (6. Working Trial Balance).</v>
      </c>
    </row>
    <row r="40" spans="1:37" ht="13.5" x14ac:dyDescent="0.25">
      <c r="A40" s="78">
        <v>3650</v>
      </c>
      <c r="C40" s="170" t="s">
        <v>286</v>
      </c>
      <c r="D40" s="89"/>
      <c r="E40" s="175"/>
      <c r="F40" s="254">
        <v>832110878</v>
      </c>
      <c r="G40" s="254">
        <v>451163987</v>
      </c>
      <c r="H40" s="254"/>
      <c r="I40" s="254">
        <v>132511637</v>
      </c>
      <c r="J40" s="175">
        <v>27551394</v>
      </c>
      <c r="K40" s="175"/>
      <c r="L40" s="175">
        <v>102699235</v>
      </c>
      <c r="M40" s="175">
        <v>31557326</v>
      </c>
      <c r="N40" s="175"/>
      <c r="O40" s="175">
        <v>0</v>
      </c>
      <c r="P40" s="175"/>
      <c r="Q40" s="175">
        <v>11583224</v>
      </c>
      <c r="R40" s="175"/>
      <c r="S40" s="175"/>
      <c r="T40" s="175">
        <v>23274427</v>
      </c>
      <c r="U40" s="175">
        <v>58930743</v>
      </c>
      <c r="V40" s="175">
        <v>14017090</v>
      </c>
      <c r="W40" s="177"/>
      <c r="X40" s="177">
        <f t="shared" si="5"/>
        <v>1685399941</v>
      </c>
      <c r="Y40" s="177"/>
      <c r="Z40" s="177"/>
      <c r="AA40" s="177">
        <v>0</v>
      </c>
      <c r="AB40" s="177"/>
      <c r="AC40" s="177"/>
      <c r="AD40" s="178">
        <v>0</v>
      </c>
      <c r="AE40" s="178">
        <v>894589867</v>
      </c>
      <c r="AF40" s="177">
        <v>894590</v>
      </c>
      <c r="AI40" s="176">
        <v>1685399941</v>
      </c>
      <c r="AJ40" s="293">
        <f t="shared" si="1"/>
        <v>0</v>
      </c>
      <c r="AK40" s="114" t="str">
        <f t="shared" si="6"/>
        <v>OK - Classification in SmartView 3. Net Position Classification in main university folder (6. Working Trial Balance).</v>
      </c>
    </row>
    <row r="41" spans="1:37" ht="13.5" x14ac:dyDescent="0.25">
      <c r="A41" s="78">
        <v>3680</v>
      </c>
      <c r="C41" s="171" t="s">
        <v>291</v>
      </c>
      <c r="D41" s="89"/>
      <c r="E41" s="175"/>
      <c r="F41" s="254">
        <v>131475532</v>
      </c>
      <c r="G41" s="254">
        <v>27279292</v>
      </c>
      <c r="H41" s="254"/>
      <c r="I41" s="254">
        <v>29071017</v>
      </c>
      <c r="J41" s="175">
        <v>1597238</v>
      </c>
      <c r="K41" s="175"/>
      <c r="L41" s="175">
        <v>21414552</v>
      </c>
      <c r="M41" s="175">
        <v>24928917</v>
      </c>
      <c r="N41" s="175"/>
      <c r="O41" s="175">
        <v>0</v>
      </c>
      <c r="P41" s="175"/>
      <c r="Q41" s="175">
        <v>32536820</v>
      </c>
      <c r="R41" s="175"/>
      <c r="S41" s="175"/>
      <c r="T41" s="175">
        <v>1912413</v>
      </c>
      <c r="U41" s="175">
        <v>947703</v>
      </c>
      <c r="V41" s="175">
        <v>5891172</v>
      </c>
      <c r="W41" s="177"/>
      <c r="X41" s="177">
        <f t="shared" si="5"/>
        <v>277054656</v>
      </c>
      <c r="Y41" s="177"/>
      <c r="Z41" s="177">
        <v>0</v>
      </c>
      <c r="AA41" s="177"/>
      <c r="AB41" s="177"/>
      <c r="AC41" s="177"/>
      <c r="AD41" s="178">
        <v>0</v>
      </c>
      <c r="AE41" s="178">
        <v>127766458</v>
      </c>
      <c r="AF41" s="177">
        <v>127766</v>
      </c>
      <c r="AI41" s="176">
        <v>277054656</v>
      </c>
      <c r="AJ41" s="293">
        <f t="shared" si="1"/>
        <v>0</v>
      </c>
      <c r="AK41" s="114" t="str">
        <f t="shared" si="6"/>
        <v>OK - Classification in SmartView 3. Net Position Classification in main university folder (6. Working Trial Balance).</v>
      </c>
    </row>
    <row r="42" spans="1:37" ht="14.25" thickBot="1" x14ac:dyDescent="0.3">
      <c r="C42" s="159" t="s">
        <v>294</v>
      </c>
      <c r="D42" s="89"/>
      <c r="E42" s="192"/>
      <c r="F42" s="299">
        <f>SUM(F35:F41)</f>
        <v>1622477266</v>
      </c>
      <c r="G42" s="299">
        <f>SUM(G35:G41)</f>
        <v>1007948598</v>
      </c>
      <c r="H42" s="299"/>
      <c r="I42" s="299">
        <f>SUM(I35:I41)</f>
        <v>271914610</v>
      </c>
      <c r="J42" s="192">
        <f>SUM(J35:J41)</f>
        <v>56383668</v>
      </c>
      <c r="K42" s="192">
        <f t="shared" ref="K42:X42" si="7">SUM(K35:K41)</f>
        <v>0</v>
      </c>
      <c r="L42" s="192">
        <f t="shared" si="7"/>
        <v>233646085</v>
      </c>
      <c r="M42" s="192">
        <f t="shared" si="7"/>
        <v>62601772</v>
      </c>
      <c r="N42" s="192">
        <f t="shared" si="7"/>
        <v>0</v>
      </c>
      <c r="O42" s="192">
        <f t="shared" si="7"/>
        <v>0</v>
      </c>
      <c r="P42" s="192">
        <f t="shared" si="7"/>
        <v>0</v>
      </c>
      <c r="Q42" s="192">
        <f t="shared" si="7"/>
        <v>76490201</v>
      </c>
      <c r="R42" s="192">
        <f t="shared" si="7"/>
        <v>0</v>
      </c>
      <c r="S42" s="192">
        <f t="shared" si="7"/>
        <v>0</v>
      </c>
      <c r="T42" s="192">
        <f t="shared" si="7"/>
        <v>53644847</v>
      </c>
      <c r="U42" s="192">
        <f t="shared" si="7"/>
        <v>112001689</v>
      </c>
      <c r="V42" s="192">
        <f t="shared" si="7"/>
        <v>42895584</v>
      </c>
      <c r="W42" s="192">
        <f t="shared" si="7"/>
        <v>0</v>
      </c>
      <c r="X42" s="192">
        <f t="shared" si="7"/>
        <v>3540004320</v>
      </c>
      <c r="Y42" s="192"/>
      <c r="Z42" s="192">
        <v>0</v>
      </c>
      <c r="AA42" s="192">
        <v>0</v>
      </c>
      <c r="AB42" s="192">
        <v>0</v>
      </c>
      <c r="AC42" s="192"/>
      <c r="AD42" s="192">
        <v>0</v>
      </c>
      <c r="AE42" s="193">
        <v>2267971512</v>
      </c>
      <c r="AF42" s="193">
        <v>2267971</v>
      </c>
      <c r="AI42" s="176">
        <v>3540004320</v>
      </c>
      <c r="AJ42" s="293">
        <f t="shared" si="1"/>
        <v>0</v>
      </c>
    </row>
    <row r="43" spans="1:37" ht="6" customHeight="1" thickTop="1" x14ac:dyDescent="0.25">
      <c r="C43" s="89"/>
      <c r="D43" s="89"/>
      <c r="E43" s="163"/>
      <c r="F43" s="163"/>
      <c r="G43" s="163"/>
      <c r="H43" s="163"/>
      <c r="I43" s="163"/>
      <c r="J43" s="163"/>
      <c r="K43" s="163"/>
      <c r="L43" s="163"/>
      <c r="M43" s="163"/>
      <c r="N43" s="163"/>
      <c r="O43" s="163"/>
      <c r="P43" s="163"/>
      <c r="Q43" s="163"/>
      <c r="R43" s="163"/>
      <c r="S43" s="163"/>
      <c r="T43" s="163"/>
      <c r="U43" s="163"/>
      <c r="V43" s="163"/>
      <c r="W43" s="163"/>
      <c r="AD43" s="162"/>
      <c r="AE43" s="162"/>
      <c r="AI43" s="116"/>
    </row>
    <row r="44" spans="1:37" ht="10.5" customHeight="1" x14ac:dyDescent="0.25">
      <c r="C44" s="116"/>
      <c r="D44" s="125"/>
      <c r="E44" s="172" t="str">
        <f t="shared" ref="E44:U44" si="8">IF(E19-E32=E42,"In Balance","Not Balanced")</f>
        <v>In Balance</v>
      </c>
      <c r="F44" s="172" t="str">
        <f t="shared" si="8"/>
        <v>In Balance</v>
      </c>
      <c r="G44" s="172" t="str">
        <f t="shared" si="8"/>
        <v>In Balance</v>
      </c>
      <c r="H44" s="172" t="str">
        <f t="shared" si="8"/>
        <v>In Balance</v>
      </c>
      <c r="I44" s="172" t="str">
        <f>IF(I19-I32=I42,"In Balance","Not Balanced")</f>
        <v>In Balance</v>
      </c>
      <c r="J44" s="172" t="str">
        <f t="shared" si="8"/>
        <v>In Balance</v>
      </c>
      <c r="K44" s="172" t="str">
        <f t="shared" si="8"/>
        <v>In Balance</v>
      </c>
      <c r="L44" s="172" t="str">
        <f t="shared" si="8"/>
        <v>In Balance</v>
      </c>
      <c r="M44" s="172" t="str">
        <f t="shared" si="8"/>
        <v>In Balance</v>
      </c>
      <c r="N44" s="172" t="str">
        <f t="shared" si="8"/>
        <v>In Balance</v>
      </c>
      <c r="O44" s="172" t="str">
        <f t="shared" si="8"/>
        <v>In Balance</v>
      </c>
      <c r="P44" s="172" t="str">
        <f t="shared" si="8"/>
        <v>In Balance</v>
      </c>
      <c r="Q44" s="172" t="str">
        <f t="shared" si="8"/>
        <v>In Balance</v>
      </c>
      <c r="R44" s="172" t="str">
        <f t="shared" si="8"/>
        <v>In Balance</v>
      </c>
      <c r="S44" s="172" t="str">
        <f t="shared" si="8"/>
        <v>In Balance</v>
      </c>
      <c r="T44" s="172" t="str">
        <f t="shared" si="8"/>
        <v>In Balance</v>
      </c>
      <c r="U44" s="172" t="str">
        <f t="shared" si="8"/>
        <v>In Balance</v>
      </c>
      <c r="V44" s="172" t="str">
        <f>IF(V19-V32=V42,"In Balance","Not Balanced")</f>
        <v>In Balance</v>
      </c>
      <c r="W44" s="172"/>
      <c r="X44" s="172" t="str">
        <f>IF(X19-X32=X42,"In Balance","Not Balanced")</f>
        <v>In Balance</v>
      </c>
      <c r="Y44" s="172"/>
      <c r="Z44" s="172" t="str">
        <f>IF(Z19-Z32=Z42,"In Balance","Not Balanced")</f>
        <v>In Balance</v>
      </c>
      <c r="AA44" s="172" t="str">
        <f>IF(AA19-AA32=AA42,"In Balance","Not Balanced")</f>
        <v>In Balance</v>
      </c>
      <c r="AB44" s="172" t="str">
        <f>IF(AB19-AB32=AB42,"In Balance","Not Balanced")</f>
        <v>In Balance</v>
      </c>
      <c r="AC44" s="172"/>
      <c r="AD44" s="172" t="str">
        <f>IF(AD19-AD32=AD42,"In Balance","Not Balanced")</f>
        <v>In Balance</v>
      </c>
      <c r="AE44" s="172" t="str">
        <f>IF(AE19-AE32=AE42,"In Balance","Not Balanced")</f>
        <v>In Balance</v>
      </c>
      <c r="AF44" s="172" t="str">
        <f>IF(AF19-AF32=AF42,"In Balance","Not Balanced")</f>
        <v>In Balance</v>
      </c>
      <c r="AI44" s="116"/>
    </row>
    <row r="45" spans="1:37" x14ac:dyDescent="0.25">
      <c r="E45" s="173"/>
      <c r="F45" s="173"/>
      <c r="G45" s="173"/>
      <c r="H45" s="173"/>
      <c r="I45" s="173"/>
      <c r="J45" s="173"/>
      <c r="K45" s="173"/>
      <c r="L45" s="173"/>
      <c r="M45" s="173"/>
      <c r="N45" s="173"/>
      <c r="O45" s="173"/>
      <c r="P45" s="173"/>
      <c r="Q45" s="173"/>
      <c r="R45" s="173"/>
      <c r="S45" s="173"/>
      <c r="T45" s="173"/>
      <c r="U45" s="173"/>
      <c r="V45" s="173"/>
      <c r="W45" s="173"/>
      <c r="X45" s="173"/>
      <c r="Y45" s="173"/>
    </row>
    <row r="46" spans="1:37" x14ac:dyDescent="0.25">
      <c r="X46" s="98"/>
      <c r="Y46" s="98"/>
      <c r="AF46" s="79">
        <f>-AF32+AF19</f>
        <v>2267971</v>
      </c>
    </row>
    <row r="47" spans="1:37" x14ac:dyDescent="0.25">
      <c r="E47" s="127"/>
      <c r="F47" s="127"/>
      <c r="G47" s="127"/>
      <c r="H47" s="127"/>
      <c r="I47" s="127"/>
      <c r="J47" s="127"/>
      <c r="K47" s="127"/>
      <c r="L47" s="127"/>
      <c r="M47" s="127"/>
      <c r="N47" s="127"/>
      <c r="O47" s="127"/>
      <c r="P47" s="127"/>
      <c r="Q47" s="127"/>
      <c r="R47" s="127"/>
      <c r="S47" s="127"/>
      <c r="T47" s="127"/>
      <c r="U47" s="127"/>
      <c r="V47" s="127"/>
      <c r="W47" s="127"/>
      <c r="AF47" s="79">
        <f>+AF42</f>
        <v>2267971</v>
      </c>
    </row>
    <row r="48" spans="1:37" x14ac:dyDescent="0.25">
      <c r="E48" s="127"/>
      <c r="F48" s="127"/>
      <c r="G48" s="127"/>
      <c r="H48" s="127"/>
      <c r="I48" s="127"/>
      <c r="J48" s="127"/>
      <c r="K48" s="127"/>
      <c r="L48" s="127"/>
      <c r="M48" s="127"/>
      <c r="N48" s="127"/>
      <c r="O48" s="127"/>
      <c r="P48" s="127"/>
      <c r="Q48" s="127"/>
      <c r="R48" s="127"/>
      <c r="S48" s="127"/>
      <c r="T48" s="127"/>
      <c r="U48" s="127"/>
      <c r="V48" s="127"/>
      <c r="W48" s="127"/>
    </row>
    <row r="49" spans="2:31" x14ac:dyDescent="0.25">
      <c r="E49" s="127"/>
      <c r="F49" s="127"/>
      <c r="G49" s="127"/>
      <c r="H49" s="127"/>
      <c r="I49" s="127"/>
      <c r="J49" s="127"/>
      <c r="K49" s="127"/>
      <c r="L49" s="127"/>
      <c r="M49" s="127"/>
      <c r="N49" s="127"/>
      <c r="O49" s="127"/>
      <c r="P49" s="127"/>
      <c r="Q49" s="127"/>
      <c r="R49" s="127"/>
      <c r="S49" s="127"/>
      <c r="T49" s="127"/>
      <c r="U49" s="127"/>
      <c r="V49" s="127"/>
      <c r="W49" s="127"/>
    </row>
    <row r="50" spans="2:31" x14ac:dyDescent="0.25">
      <c r="E50" s="127"/>
      <c r="F50" s="127"/>
      <c r="G50" s="127"/>
      <c r="H50" s="127"/>
      <c r="I50" s="127"/>
      <c r="J50" s="127"/>
      <c r="K50" s="127"/>
      <c r="L50" s="127"/>
      <c r="M50" s="127"/>
      <c r="N50" s="127"/>
      <c r="O50" s="127"/>
      <c r="P50" s="127"/>
      <c r="Q50" s="127"/>
      <c r="R50" s="127"/>
      <c r="S50" s="127"/>
      <c r="T50" s="127"/>
      <c r="U50" s="127"/>
      <c r="V50" s="127"/>
      <c r="W50" s="127"/>
      <c r="X50" s="127"/>
      <c r="Y50" s="127"/>
    </row>
    <row r="51" spans="2:31" x14ac:dyDescent="0.25">
      <c r="E51" s="127"/>
      <c r="F51" s="127"/>
      <c r="G51" s="127"/>
      <c r="H51" s="127"/>
      <c r="I51" s="127"/>
      <c r="J51" s="127"/>
      <c r="K51" s="127"/>
      <c r="L51" s="127"/>
      <c r="M51" s="127"/>
      <c r="N51" s="127"/>
      <c r="O51" s="127"/>
      <c r="P51" s="127"/>
      <c r="Q51" s="127"/>
      <c r="R51" s="127"/>
      <c r="S51" s="127"/>
      <c r="T51" s="127"/>
      <c r="U51" s="127"/>
      <c r="V51" s="127"/>
      <c r="W51" s="127"/>
      <c r="X51" s="127"/>
      <c r="Y51" s="127"/>
    </row>
    <row r="52" spans="2:31" x14ac:dyDescent="0.25">
      <c r="E52" s="127"/>
      <c r="F52" s="127"/>
      <c r="G52" s="127"/>
      <c r="H52" s="127"/>
      <c r="I52" s="127"/>
      <c r="J52" s="127"/>
      <c r="K52" s="127"/>
      <c r="L52" s="127"/>
      <c r="M52" s="127"/>
      <c r="N52" s="127"/>
      <c r="O52" s="127"/>
      <c r="P52" s="127"/>
      <c r="Q52" s="127"/>
      <c r="R52" s="127"/>
      <c r="S52" s="127"/>
      <c r="T52" s="127"/>
      <c r="U52" s="127"/>
      <c r="V52" s="127"/>
      <c r="W52" s="127"/>
    </row>
    <row r="53" spans="2:31" ht="13.5" x14ac:dyDescent="0.25">
      <c r="B53" s="120"/>
      <c r="C53" s="174"/>
      <c r="E53" s="73"/>
      <c r="F53" s="127"/>
      <c r="G53" s="127"/>
      <c r="H53" s="127"/>
      <c r="I53" s="127"/>
      <c r="J53" s="127"/>
      <c r="K53" s="127"/>
      <c r="L53" s="127"/>
      <c r="M53" s="127"/>
      <c r="N53" s="127"/>
      <c r="O53" s="127"/>
      <c r="P53" s="127"/>
      <c r="Q53" s="127"/>
      <c r="R53" s="127"/>
      <c r="S53" s="127"/>
      <c r="T53" s="127"/>
      <c r="U53" s="127"/>
      <c r="V53" s="127"/>
      <c r="W53" s="127"/>
      <c r="X53" s="127"/>
      <c r="Y53" s="127"/>
    </row>
    <row r="54" spans="2:31" ht="13.5" x14ac:dyDescent="0.25">
      <c r="E54" s="73"/>
      <c r="F54" s="127"/>
      <c r="G54" s="127"/>
      <c r="H54" s="127"/>
      <c r="I54" s="127"/>
      <c r="J54" s="127"/>
      <c r="K54" s="127"/>
      <c r="L54" s="127"/>
      <c r="M54" s="127"/>
      <c r="N54" s="127"/>
      <c r="O54" s="127"/>
      <c r="P54" s="127"/>
      <c r="Q54" s="127"/>
      <c r="R54" s="127"/>
      <c r="S54" s="127"/>
      <c r="T54" s="127"/>
      <c r="U54" s="127"/>
      <c r="V54" s="127"/>
      <c r="W54" s="127"/>
      <c r="X54" s="127"/>
      <c r="Y54" s="127"/>
      <c r="AE54" s="97">
        <f>SUM(AE50:AE52)</f>
        <v>0</v>
      </c>
    </row>
    <row r="55" spans="2:31" x14ac:dyDescent="0.25">
      <c r="E55" s="127"/>
      <c r="F55" s="127"/>
      <c r="G55" s="127"/>
      <c r="H55" s="127"/>
      <c r="I55" s="127"/>
      <c r="J55" s="127"/>
      <c r="K55" s="127"/>
      <c r="L55" s="127"/>
      <c r="M55" s="127"/>
      <c r="N55" s="127"/>
      <c r="O55" s="127"/>
      <c r="P55" s="127"/>
      <c r="Q55" s="127"/>
      <c r="R55" s="127"/>
      <c r="S55" s="127"/>
      <c r="T55" s="127"/>
      <c r="U55" s="127"/>
      <c r="V55" s="127"/>
      <c r="W55" s="127"/>
      <c r="X55" s="127"/>
      <c r="Y55" s="127"/>
    </row>
  </sheetData>
  <sheetProtection algorithmName="SHA-512" hashValue="lzD6A9ORkIYtM/V9SQ+88c3vVaKeeSUG/s0hv6aOISiOetEUQuGH+U+aa2G4hsfDXXjgZ0kRPqKtpTnX6P9DfQ==" saltValue="5q0nLYEIJwvEnNNp/Nj3vA==" spinCount="100000" sheet="1" formatCells="0" formatColumns="0" formatRows="0" insertColumns="0" insertRows="0" autoFilter="0"/>
  <mergeCells count="1">
    <mergeCell ref="Z2:AF2"/>
  </mergeCells>
  <pageMargins left="0.7" right="0.7" top="0.75" bottom="0.75" header="0.3" footer="0.3"/>
  <pageSetup scale="87" fitToHeight="0" orientation="landscape" r:id="rId1"/>
  <colBreaks count="1" manualBreakCount="1">
    <brk id="12" max="1048575" man="1"/>
  </col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4DBAC-D4BD-437D-8539-E29F1B76647D}">
  <sheetPr codeName="Sheet12"/>
  <dimension ref="A1:AD37"/>
  <sheetViews>
    <sheetView zoomScaleNormal="100" workbookViewId="0">
      <pane xSplit="4" topLeftCell="E1" activePane="topRight" state="frozen"/>
      <selection pane="topRight" activeCell="J11" sqref="J11"/>
    </sheetView>
  </sheetViews>
  <sheetFormatPr defaultColWidth="9.140625" defaultRowHeight="12.75" x14ac:dyDescent="0.2"/>
  <cols>
    <col min="1" max="1" width="5" style="194" bestFit="1" customWidth="1"/>
    <col min="2" max="2" width="4.85546875" style="73" customWidth="1"/>
    <col min="3" max="3" width="42.5703125" style="73" customWidth="1"/>
    <col min="4" max="4" width="2.42578125" style="73" customWidth="1"/>
    <col min="5" max="5" width="7" style="73" customWidth="1"/>
    <col min="6" max="6" width="17.7109375" style="73" bestFit="1" customWidth="1"/>
    <col min="7" max="7" width="12.28515625" style="73" customWidth="1"/>
    <col min="8" max="8" width="5" style="73" customWidth="1"/>
    <col min="9" max="9" width="12.28515625" style="73" bestFit="1" customWidth="1"/>
    <col min="10" max="11" width="11" style="73" customWidth="1"/>
    <col min="12" max="12" width="12.140625" style="73" customWidth="1"/>
    <col min="13" max="13" width="11.28515625" style="73" bestFit="1" customWidth="1"/>
    <col min="14" max="14" width="5.5703125" style="73" customWidth="1"/>
    <col min="15" max="15" width="16" style="73" bestFit="1" customWidth="1"/>
    <col min="16" max="16" width="6.28515625" style="73" customWidth="1"/>
    <col min="17" max="17" width="11.28515625" style="73" bestFit="1" customWidth="1"/>
    <col min="18" max="18" width="6" style="73" customWidth="1"/>
    <col min="19" max="19" width="5.5703125" style="73" customWidth="1"/>
    <col min="20" max="20" width="11.5703125" style="73" bestFit="1" customWidth="1"/>
    <col min="21" max="21" width="11" style="73" customWidth="1"/>
    <col min="22" max="22" width="11.140625" style="73" customWidth="1"/>
    <col min="23" max="23" width="11.85546875" style="73" hidden="1" customWidth="1"/>
    <col min="24" max="24" width="14" style="73" bestFit="1" customWidth="1"/>
    <col min="25" max="25" width="1.85546875" style="73" customWidth="1"/>
    <col min="26" max="26" width="13" style="73" hidden="1" customWidth="1"/>
    <col min="27" max="28" width="9.140625" style="73" hidden="1" customWidth="1"/>
    <col min="29" max="29" width="17.42578125" style="73" customWidth="1"/>
    <col min="30" max="30" width="12.42578125" style="73" customWidth="1"/>
    <col min="31" max="16384" width="9.140625" style="73"/>
  </cols>
  <sheetData>
    <row r="1" spans="1:30" ht="13.5" x14ac:dyDescent="0.25">
      <c r="C1" s="115" t="s">
        <v>460</v>
      </c>
      <c r="D1" s="116"/>
      <c r="E1" s="114"/>
      <c r="F1" s="116"/>
      <c r="G1" s="116"/>
      <c r="H1" s="116"/>
      <c r="I1" s="116"/>
      <c r="J1" s="116"/>
      <c r="K1" s="116"/>
      <c r="L1" s="116"/>
      <c r="M1" s="116"/>
      <c r="N1" s="116"/>
      <c r="O1" s="116"/>
      <c r="P1" s="116"/>
      <c r="Q1" s="116"/>
      <c r="R1" s="116"/>
      <c r="S1" s="116"/>
      <c r="T1" s="116"/>
      <c r="U1" s="116"/>
      <c r="V1" s="116"/>
      <c r="W1" s="116"/>
      <c r="X1" s="98"/>
    </row>
    <row r="2" spans="1:30" ht="15" x14ac:dyDescent="0.35">
      <c r="C2" s="117" t="s">
        <v>461</v>
      </c>
      <c r="D2" s="116"/>
      <c r="E2" s="46" t="s">
        <v>462</v>
      </c>
      <c r="F2" s="46" t="s">
        <v>463</v>
      </c>
      <c r="G2" s="46" t="s">
        <v>464</v>
      </c>
      <c r="H2" s="46" t="s">
        <v>465</v>
      </c>
      <c r="I2" s="46" t="s">
        <v>466</v>
      </c>
      <c r="J2" s="46" t="s">
        <v>467</v>
      </c>
      <c r="K2" s="46" t="s">
        <v>468</v>
      </c>
      <c r="L2" s="46" t="s">
        <v>469</v>
      </c>
      <c r="M2" s="46" t="s">
        <v>470</v>
      </c>
      <c r="N2" s="46" t="s">
        <v>471</v>
      </c>
      <c r="O2" s="46" t="s">
        <v>472</v>
      </c>
      <c r="P2" s="46" t="s">
        <v>473</v>
      </c>
      <c r="Q2" s="46" t="s">
        <v>474</v>
      </c>
      <c r="R2" s="46" t="s">
        <v>475</v>
      </c>
      <c r="S2" s="46" t="s">
        <v>476</v>
      </c>
      <c r="T2" s="46" t="s">
        <v>477</v>
      </c>
      <c r="U2" s="46" t="s">
        <v>478</v>
      </c>
      <c r="V2" s="46" t="s">
        <v>479</v>
      </c>
      <c r="W2" s="116"/>
      <c r="X2" s="98"/>
      <c r="Z2" s="153" t="s">
        <v>527</v>
      </c>
    </row>
    <row r="3" spans="1:30" ht="13.5" x14ac:dyDescent="0.25">
      <c r="C3" s="85">
        <v>45473</v>
      </c>
      <c r="D3" s="152"/>
      <c r="E3" s="116"/>
      <c r="F3" s="116"/>
      <c r="G3" s="116"/>
      <c r="H3" s="116"/>
      <c r="I3" s="116"/>
      <c r="J3" s="116"/>
      <c r="K3" s="116"/>
      <c r="L3" s="116"/>
      <c r="M3" s="155"/>
      <c r="N3" s="116"/>
      <c r="O3" s="116"/>
      <c r="P3" s="116"/>
      <c r="Q3" s="116"/>
      <c r="R3" s="116"/>
      <c r="S3" s="116"/>
      <c r="T3" s="116"/>
      <c r="U3" s="116"/>
      <c r="V3" s="116"/>
      <c r="W3" s="116"/>
      <c r="X3" s="98"/>
      <c r="Z3" s="156" t="s">
        <v>54</v>
      </c>
    </row>
    <row r="4" spans="1:30" ht="13.5" x14ac:dyDescent="0.25">
      <c r="C4" s="157" t="s">
        <v>528</v>
      </c>
      <c r="E4" s="116"/>
      <c r="F4" s="116"/>
      <c r="G4" s="116"/>
      <c r="H4" s="116"/>
      <c r="I4" s="116"/>
      <c r="J4" s="116"/>
      <c r="K4" s="116"/>
      <c r="L4" s="116"/>
      <c r="M4" s="155"/>
      <c r="N4" s="116"/>
      <c r="O4" s="116"/>
      <c r="P4" s="116"/>
      <c r="Q4" s="116"/>
      <c r="R4" s="116"/>
      <c r="S4" s="116"/>
      <c r="T4" s="116"/>
      <c r="U4" s="116"/>
      <c r="V4" s="116"/>
      <c r="W4" s="116" t="s">
        <v>543</v>
      </c>
      <c r="X4" s="98" t="s">
        <v>483</v>
      </c>
      <c r="Y4" s="98"/>
      <c r="Z4" s="81" t="s">
        <v>531</v>
      </c>
      <c r="AC4" s="116" t="s">
        <v>532</v>
      </c>
      <c r="AD4" s="116" t="s">
        <v>533</v>
      </c>
    </row>
    <row r="5" spans="1:30" ht="25.5" x14ac:dyDescent="0.25">
      <c r="C5" s="157"/>
      <c r="E5" s="118" t="s">
        <v>484</v>
      </c>
      <c r="F5" s="118" t="s">
        <v>485</v>
      </c>
      <c r="G5" s="118" t="s">
        <v>486</v>
      </c>
      <c r="H5" s="118" t="s">
        <v>487</v>
      </c>
      <c r="I5" s="118" t="s">
        <v>488</v>
      </c>
      <c r="J5" s="118" t="s">
        <v>489</v>
      </c>
      <c r="K5" s="230" t="s">
        <v>544</v>
      </c>
      <c r="L5" s="118" t="s">
        <v>491</v>
      </c>
      <c r="M5" s="118" t="s">
        <v>492</v>
      </c>
      <c r="N5" s="118" t="s">
        <v>493</v>
      </c>
      <c r="O5" s="118" t="s">
        <v>494</v>
      </c>
      <c r="P5" s="118" t="s">
        <v>495</v>
      </c>
      <c r="Q5" s="118" t="s">
        <v>496</v>
      </c>
      <c r="R5" s="118" t="s">
        <v>497</v>
      </c>
      <c r="S5" s="118" t="s">
        <v>498</v>
      </c>
      <c r="T5" s="118" t="s">
        <v>516</v>
      </c>
      <c r="U5" s="118" t="s">
        <v>517</v>
      </c>
      <c r="V5" s="118" t="s">
        <v>501</v>
      </c>
      <c r="W5" s="118" t="s">
        <v>545</v>
      </c>
      <c r="X5" s="99" t="s">
        <v>502</v>
      </c>
      <c r="Y5" s="99"/>
      <c r="Z5" s="88" t="s">
        <v>539</v>
      </c>
      <c r="AA5" s="81" t="s">
        <v>540</v>
      </c>
    </row>
    <row r="6" spans="1:30" x14ac:dyDescent="0.2">
      <c r="C6" s="159" t="s">
        <v>310</v>
      </c>
      <c r="E6" s="204"/>
      <c r="F6" s="204"/>
      <c r="G6" s="204"/>
      <c r="H6" s="204"/>
      <c r="I6" s="204"/>
      <c r="J6" s="204"/>
      <c r="K6" s="204"/>
      <c r="L6" s="204"/>
      <c r="M6" s="204"/>
      <c r="N6" s="204"/>
      <c r="O6" s="204"/>
      <c r="P6" s="204"/>
      <c r="Q6" s="204"/>
      <c r="R6" s="204"/>
      <c r="S6" s="204"/>
      <c r="T6" s="204"/>
      <c r="U6" s="204"/>
      <c r="V6" s="204"/>
      <c r="W6" s="204"/>
      <c r="X6" s="204"/>
      <c r="Y6" s="204"/>
      <c r="Z6" s="204"/>
    </row>
    <row r="7" spans="1:30" ht="13.5" x14ac:dyDescent="0.25">
      <c r="A7" s="194">
        <v>2700</v>
      </c>
      <c r="B7" s="160">
        <v>505</v>
      </c>
      <c r="C7" s="195" t="s">
        <v>311</v>
      </c>
      <c r="E7" s="255"/>
      <c r="F7" s="255">
        <v>0</v>
      </c>
      <c r="G7" s="255">
        <v>685771</v>
      </c>
      <c r="H7" s="255"/>
      <c r="I7" s="255">
        <v>11759</v>
      </c>
      <c r="J7" s="255">
        <v>593259</v>
      </c>
      <c r="K7" s="255"/>
      <c r="L7" s="255">
        <v>0</v>
      </c>
      <c r="M7" s="255">
        <v>0</v>
      </c>
      <c r="N7" s="255"/>
      <c r="O7" s="255">
        <v>0</v>
      </c>
      <c r="P7" s="255"/>
      <c r="Q7" s="255">
        <v>0</v>
      </c>
      <c r="R7" s="255"/>
      <c r="S7" s="255"/>
      <c r="T7" s="255">
        <v>0</v>
      </c>
      <c r="U7" s="255">
        <v>1000000</v>
      </c>
      <c r="V7" s="255">
        <v>0</v>
      </c>
      <c r="W7" s="205"/>
      <c r="X7" s="205">
        <f>SUM(E7:V7)</f>
        <v>2290789</v>
      </c>
      <c r="Y7" s="205"/>
      <c r="Z7" s="177">
        <v>1289</v>
      </c>
      <c r="AC7" s="294">
        <v>2290789</v>
      </c>
      <c r="AD7" s="252">
        <f>+X7-AC7</f>
        <v>0</v>
      </c>
    </row>
    <row r="8" spans="1:30" ht="13.5" x14ac:dyDescent="0.25">
      <c r="A8" s="194">
        <v>2710</v>
      </c>
      <c r="B8" s="160">
        <v>500</v>
      </c>
      <c r="C8" s="195" t="s">
        <v>172</v>
      </c>
      <c r="E8" s="255"/>
      <c r="F8" s="255">
        <v>72276426</v>
      </c>
      <c r="G8" s="255">
        <v>21724941</v>
      </c>
      <c r="H8" s="255"/>
      <c r="I8" s="255">
        <v>11916102</v>
      </c>
      <c r="J8" s="255">
        <v>2879344</v>
      </c>
      <c r="K8" s="255"/>
      <c r="L8" s="255">
        <v>8465890</v>
      </c>
      <c r="M8" s="255">
        <v>9464196</v>
      </c>
      <c r="N8" s="255"/>
      <c r="O8" s="255">
        <v>0</v>
      </c>
      <c r="P8" s="255"/>
      <c r="Q8" s="255">
        <v>7230570</v>
      </c>
      <c r="R8" s="255"/>
      <c r="S8" s="255"/>
      <c r="T8" s="255">
        <v>15164327</v>
      </c>
      <c r="U8" s="255">
        <v>5394357</v>
      </c>
      <c r="V8" s="255">
        <v>4590277</v>
      </c>
      <c r="W8" s="205"/>
      <c r="X8" s="205">
        <f t="shared" ref="X8:X31" si="0">SUM(E8:V8)</f>
        <v>159106430</v>
      </c>
      <c r="Y8" s="205"/>
      <c r="Z8" s="177">
        <v>102370</v>
      </c>
      <c r="AC8" s="294">
        <v>159106430</v>
      </c>
      <c r="AD8" s="252">
        <f t="shared" ref="AD8:AD31" si="1">+X8-AC8</f>
        <v>0</v>
      </c>
    </row>
    <row r="9" spans="1:30" ht="13.5" x14ac:dyDescent="0.25">
      <c r="A9" s="194">
        <v>2890</v>
      </c>
      <c r="B9" s="160">
        <v>510</v>
      </c>
      <c r="C9" s="195" t="s">
        <v>173</v>
      </c>
      <c r="E9" s="255"/>
      <c r="F9" s="255">
        <v>0</v>
      </c>
      <c r="G9" s="255">
        <v>152150</v>
      </c>
      <c r="H9" s="255"/>
      <c r="I9" s="255">
        <v>1788888</v>
      </c>
      <c r="J9" s="255">
        <v>535812</v>
      </c>
      <c r="K9" s="255"/>
      <c r="L9" s="255">
        <v>0</v>
      </c>
      <c r="M9" s="255">
        <v>0</v>
      </c>
      <c r="N9" s="255"/>
      <c r="O9" s="255">
        <v>0</v>
      </c>
      <c r="P9" s="255"/>
      <c r="Q9" s="255">
        <v>0</v>
      </c>
      <c r="R9" s="255"/>
      <c r="S9" s="255"/>
      <c r="T9" s="255">
        <v>0</v>
      </c>
      <c r="U9" s="255">
        <v>0</v>
      </c>
      <c r="V9" s="255">
        <v>27461</v>
      </c>
      <c r="W9" s="205"/>
      <c r="X9" s="205">
        <f t="shared" si="0"/>
        <v>2504311</v>
      </c>
      <c r="Y9" s="205"/>
      <c r="Z9" s="177">
        <v>5038</v>
      </c>
      <c r="AC9" s="294">
        <v>2504311</v>
      </c>
      <c r="AD9" s="252">
        <f t="shared" si="1"/>
        <v>0</v>
      </c>
    </row>
    <row r="10" spans="1:30" ht="13.5" x14ac:dyDescent="0.25">
      <c r="A10" s="194">
        <v>2900</v>
      </c>
      <c r="B10" s="160">
        <v>520</v>
      </c>
      <c r="C10" s="195" t="s">
        <v>174</v>
      </c>
      <c r="E10" s="255"/>
      <c r="F10" s="255">
        <v>26532725</v>
      </c>
      <c r="G10" s="255">
        <v>31712732</v>
      </c>
      <c r="H10" s="255"/>
      <c r="I10" s="255">
        <v>11710228</v>
      </c>
      <c r="J10" s="255">
        <v>340852</v>
      </c>
      <c r="K10" s="255"/>
      <c r="L10" s="255">
        <v>5204127</v>
      </c>
      <c r="M10" s="255">
        <v>45045</v>
      </c>
      <c r="N10" s="255"/>
      <c r="O10" s="255">
        <v>0</v>
      </c>
      <c r="P10" s="255"/>
      <c r="Q10" s="255">
        <v>0</v>
      </c>
      <c r="R10" s="255"/>
      <c r="S10" s="255"/>
      <c r="T10" s="255">
        <v>2020377</v>
      </c>
      <c r="U10" s="255">
        <v>2514659</v>
      </c>
      <c r="V10" s="255">
        <v>1565548</v>
      </c>
      <c r="W10" s="205"/>
      <c r="X10" s="205">
        <f t="shared" si="0"/>
        <v>81646293</v>
      </c>
      <c r="Y10" s="205"/>
      <c r="Z10" s="177">
        <v>60952</v>
      </c>
      <c r="AC10" s="294">
        <v>81646293</v>
      </c>
      <c r="AD10" s="252">
        <f t="shared" si="1"/>
        <v>0</v>
      </c>
    </row>
    <row r="11" spans="1:30" ht="13.5" x14ac:dyDescent="0.25">
      <c r="A11" s="194">
        <v>2760</v>
      </c>
      <c r="B11" s="160">
        <v>530</v>
      </c>
      <c r="C11" s="195" t="s">
        <v>129</v>
      </c>
      <c r="E11" s="255"/>
      <c r="F11" s="255">
        <v>151879492</v>
      </c>
      <c r="G11" s="255">
        <v>92149401</v>
      </c>
      <c r="H11" s="255"/>
      <c r="I11" s="255">
        <v>18085706</v>
      </c>
      <c r="J11" s="256">
        <v>5891421</v>
      </c>
      <c r="K11" s="255"/>
      <c r="L11" s="255">
        <v>25807018</v>
      </c>
      <c r="M11" s="255">
        <v>2779094</v>
      </c>
      <c r="N11" s="255"/>
      <c r="O11" s="255">
        <v>0</v>
      </c>
      <c r="P11" s="255"/>
      <c r="Q11" s="255">
        <v>6898292</v>
      </c>
      <c r="R11" s="255"/>
      <c r="S11" s="255"/>
      <c r="T11" s="255">
        <v>3799646</v>
      </c>
      <c r="U11" s="255">
        <v>10746741</v>
      </c>
      <c r="V11" s="255">
        <v>2928774</v>
      </c>
      <c r="W11" s="205"/>
      <c r="X11" s="205">
        <f t="shared" si="0"/>
        <v>320965585</v>
      </c>
      <c r="Y11" s="205"/>
      <c r="Z11" s="177">
        <v>35942</v>
      </c>
      <c r="AC11" s="294">
        <v>320965585</v>
      </c>
      <c r="AD11" s="252">
        <f t="shared" si="1"/>
        <v>0</v>
      </c>
    </row>
    <row r="12" spans="1:30" ht="13.5" x14ac:dyDescent="0.25">
      <c r="A12" s="194">
        <v>2310</v>
      </c>
      <c r="B12" s="160">
        <v>540</v>
      </c>
      <c r="C12" s="195" t="s">
        <v>131</v>
      </c>
      <c r="E12" s="255"/>
      <c r="F12" s="255">
        <v>0</v>
      </c>
      <c r="G12" s="255">
        <v>0</v>
      </c>
      <c r="H12" s="255"/>
      <c r="I12" s="255">
        <v>0</v>
      </c>
      <c r="J12" s="256">
        <v>327405</v>
      </c>
      <c r="K12" s="255"/>
      <c r="L12" s="255">
        <v>0</v>
      </c>
      <c r="M12" s="255">
        <v>166348</v>
      </c>
      <c r="N12" s="255"/>
      <c r="O12" s="255">
        <v>0</v>
      </c>
      <c r="P12" s="255"/>
      <c r="Q12" s="255">
        <v>0</v>
      </c>
      <c r="R12" s="255"/>
      <c r="S12" s="255"/>
      <c r="T12" s="255">
        <v>0</v>
      </c>
      <c r="U12" s="255">
        <v>0</v>
      </c>
      <c r="V12" s="255">
        <v>0</v>
      </c>
      <c r="W12" s="205"/>
      <c r="X12" s="205">
        <f t="shared" si="0"/>
        <v>493753</v>
      </c>
      <c r="Y12" s="205"/>
      <c r="Z12" s="177">
        <v>4926</v>
      </c>
      <c r="AC12" s="294">
        <v>493753</v>
      </c>
      <c r="AD12" s="252">
        <f t="shared" si="1"/>
        <v>0</v>
      </c>
    </row>
    <row r="13" spans="1:30" ht="13.5" x14ac:dyDescent="0.25">
      <c r="A13" s="194">
        <v>2420</v>
      </c>
      <c r="B13" s="160">
        <v>550</v>
      </c>
      <c r="C13" s="195" t="s">
        <v>313</v>
      </c>
      <c r="E13" s="255"/>
      <c r="F13" s="255">
        <v>0</v>
      </c>
      <c r="G13" s="255">
        <v>0</v>
      </c>
      <c r="H13" s="255"/>
      <c r="I13" s="255">
        <v>0</v>
      </c>
      <c r="J13" s="256">
        <v>206969</v>
      </c>
      <c r="K13" s="255"/>
      <c r="L13" s="255">
        <v>0</v>
      </c>
      <c r="M13" s="255">
        <v>25263872</v>
      </c>
      <c r="N13" s="255"/>
      <c r="O13" s="255">
        <v>0</v>
      </c>
      <c r="P13" s="255"/>
      <c r="Q13" s="255">
        <v>3167763</v>
      </c>
      <c r="R13" s="255"/>
      <c r="S13" s="255"/>
      <c r="T13" s="255">
        <v>29152</v>
      </c>
      <c r="U13" s="255">
        <v>0</v>
      </c>
      <c r="V13" s="255">
        <v>0</v>
      </c>
      <c r="W13" s="205"/>
      <c r="X13" s="205">
        <f t="shared" si="0"/>
        <v>28667756</v>
      </c>
      <c r="Y13" s="205"/>
      <c r="Z13" s="201">
        <v>21735</v>
      </c>
      <c r="AC13" s="294">
        <v>28667756</v>
      </c>
      <c r="AD13" s="252">
        <f t="shared" si="1"/>
        <v>0</v>
      </c>
    </row>
    <row r="14" spans="1:30" ht="13.5" x14ac:dyDescent="0.25">
      <c r="A14" s="194">
        <v>2740</v>
      </c>
      <c r="B14" s="160">
        <v>555</v>
      </c>
      <c r="C14" s="195" t="s">
        <v>133</v>
      </c>
      <c r="E14" s="255"/>
      <c r="F14" s="255">
        <v>0</v>
      </c>
      <c r="G14" s="255">
        <v>0</v>
      </c>
      <c r="H14" s="255"/>
      <c r="I14" s="255">
        <v>0</v>
      </c>
      <c r="J14" s="255">
        <v>0</v>
      </c>
      <c r="K14" s="255"/>
      <c r="L14" s="255">
        <v>0</v>
      </c>
      <c r="M14" s="255">
        <v>0</v>
      </c>
      <c r="N14" s="255"/>
      <c r="O14" s="255">
        <v>0</v>
      </c>
      <c r="P14" s="255"/>
      <c r="Q14" s="255">
        <v>0</v>
      </c>
      <c r="R14" s="255"/>
      <c r="S14" s="255"/>
      <c r="T14" s="255">
        <v>0</v>
      </c>
      <c r="U14" s="255">
        <v>0</v>
      </c>
      <c r="V14" s="255">
        <v>0</v>
      </c>
      <c r="W14" s="205"/>
      <c r="X14" s="205">
        <f t="shared" si="0"/>
        <v>0</v>
      </c>
      <c r="Y14" s="205"/>
      <c r="Z14" s="201">
        <v>7</v>
      </c>
      <c r="AC14" s="294">
        <v>0</v>
      </c>
      <c r="AD14" s="252">
        <f t="shared" si="1"/>
        <v>0</v>
      </c>
    </row>
    <row r="15" spans="1:30" ht="13.5" x14ac:dyDescent="0.25">
      <c r="A15" s="194">
        <v>2750</v>
      </c>
      <c r="B15" s="160"/>
      <c r="C15" s="195" t="s">
        <v>546</v>
      </c>
      <c r="E15" s="255"/>
      <c r="F15" s="255">
        <v>0</v>
      </c>
      <c r="G15" s="255">
        <v>0</v>
      </c>
      <c r="H15" s="255"/>
      <c r="I15" s="255"/>
      <c r="J15" s="255">
        <v>0</v>
      </c>
      <c r="K15" s="255"/>
      <c r="L15" s="255"/>
      <c r="M15" s="255">
        <v>0</v>
      </c>
      <c r="N15" s="255"/>
      <c r="O15" s="255"/>
      <c r="P15" s="255"/>
      <c r="Q15" s="255">
        <v>0</v>
      </c>
      <c r="R15" s="255"/>
      <c r="S15" s="255"/>
      <c r="T15" s="255"/>
      <c r="U15" s="255">
        <v>0</v>
      </c>
      <c r="V15" s="255">
        <v>0</v>
      </c>
      <c r="W15" s="205"/>
      <c r="X15" s="205">
        <f t="shared" si="0"/>
        <v>0</v>
      </c>
      <c r="Y15" s="205"/>
      <c r="Z15" s="177">
        <v>0</v>
      </c>
      <c r="AC15" s="294">
        <v>0</v>
      </c>
      <c r="AD15" s="252">
        <f t="shared" si="1"/>
        <v>0</v>
      </c>
    </row>
    <row r="16" spans="1:30" ht="13.5" x14ac:dyDescent="0.25">
      <c r="A16" s="194">
        <v>2810</v>
      </c>
      <c r="B16" s="160"/>
      <c r="C16" s="195" t="s">
        <v>547</v>
      </c>
      <c r="E16" s="255"/>
      <c r="F16" s="255">
        <v>0</v>
      </c>
      <c r="G16" s="255">
        <v>0</v>
      </c>
      <c r="H16" s="255"/>
      <c r="I16" s="255"/>
      <c r="J16" s="255"/>
      <c r="K16" s="255"/>
      <c r="L16" s="255"/>
      <c r="M16" s="255">
        <v>0</v>
      </c>
      <c r="N16" s="255"/>
      <c r="O16" s="255"/>
      <c r="P16" s="255"/>
      <c r="Q16" s="255">
        <v>0</v>
      </c>
      <c r="R16" s="255"/>
      <c r="S16" s="255"/>
      <c r="T16" s="255"/>
      <c r="U16" s="255">
        <v>0</v>
      </c>
      <c r="V16" s="255">
        <v>0</v>
      </c>
      <c r="W16" s="205"/>
      <c r="X16" s="205">
        <f t="shared" si="0"/>
        <v>0</v>
      </c>
      <c r="Y16" s="205"/>
      <c r="Z16" s="177">
        <v>0</v>
      </c>
      <c r="AC16" s="294">
        <v>0</v>
      </c>
      <c r="AD16" s="252">
        <f t="shared" si="1"/>
        <v>0</v>
      </c>
    </row>
    <row r="17" spans="1:30" ht="13.5" x14ac:dyDescent="0.25">
      <c r="A17" s="194">
        <v>2800</v>
      </c>
      <c r="B17" s="160">
        <v>560</v>
      </c>
      <c r="C17" s="195" t="s">
        <v>518</v>
      </c>
      <c r="E17" s="255"/>
      <c r="F17" s="255">
        <v>904417</v>
      </c>
      <c r="G17" s="255">
        <v>14097282</v>
      </c>
      <c r="H17" s="255"/>
      <c r="I17" s="255">
        <v>930918</v>
      </c>
      <c r="J17" s="255">
        <v>65311</v>
      </c>
      <c r="K17" s="255"/>
      <c r="L17" s="255">
        <v>5774674</v>
      </c>
      <c r="M17" s="255">
        <v>3753622</v>
      </c>
      <c r="N17" s="255"/>
      <c r="O17" s="255">
        <v>0</v>
      </c>
      <c r="P17" s="255"/>
      <c r="Q17" s="255">
        <v>317964</v>
      </c>
      <c r="R17" s="255"/>
      <c r="S17" s="255"/>
      <c r="T17" s="255">
        <v>2162246</v>
      </c>
      <c r="U17" s="255">
        <v>215685</v>
      </c>
      <c r="V17" s="255">
        <v>2123</v>
      </c>
      <c r="W17" s="205"/>
      <c r="X17" s="205">
        <f t="shared" si="0"/>
        <v>28224242</v>
      </c>
      <c r="Y17" s="205"/>
      <c r="Z17" s="177">
        <v>23242</v>
      </c>
      <c r="AA17" s="196">
        <v>-2</v>
      </c>
      <c r="AB17" s="197" t="s">
        <v>548</v>
      </c>
      <c r="AC17" s="294">
        <v>28224242</v>
      </c>
      <c r="AD17" s="252">
        <f t="shared" si="1"/>
        <v>0</v>
      </c>
    </row>
    <row r="18" spans="1:30" x14ac:dyDescent="0.2">
      <c r="B18" s="160"/>
      <c r="C18" s="170" t="s">
        <v>135</v>
      </c>
      <c r="E18" s="257"/>
      <c r="F18" s="257">
        <f>SUM(F7:F17)</f>
        <v>251593060</v>
      </c>
      <c r="G18" s="257">
        <f t="shared" ref="G18:W18" si="2">SUM(G7:G17)</f>
        <v>160522277</v>
      </c>
      <c r="H18" s="257">
        <f t="shared" si="2"/>
        <v>0</v>
      </c>
      <c r="I18" s="257">
        <f t="shared" si="2"/>
        <v>44443601</v>
      </c>
      <c r="J18" s="257">
        <f t="shared" si="2"/>
        <v>10840373</v>
      </c>
      <c r="K18" s="257">
        <f t="shared" si="2"/>
        <v>0</v>
      </c>
      <c r="L18" s="257">
        <f t="shared" si="2"/>
        <v>45251709</v>
      </c>
      <c r="M18" s="257">
        <f t="shared" si="2"/>
        <v>41472177</v>
      </c>
      <c r="N18" s="257">
        <f t="shared" si="2"/>
        <v>0</v>
      </c>
      <c r="O18" s="257">
        <f t="shared" si="2"/>
        <v>0</v>
      </c>
      <c r="P18" s="257">
        <f t="shared" si="2"/>
        <v>0</v>
      </c>
      <c r="Q18" s="257">
        <f t="shared" si="2"/>
        <v>17614589</v>
      </c>
      <c r="R18" s="257">
        <f t="shared" si="2"/>
        <v>0</v>
      </c>
      <c r="S18" s="257">
        <f t="shared" si="2"/>
        <v>0</v>
      </c>
      <c r="T18" s="257">
        <f t="shared" si="2"/>
        <v>23175748</v>
      </c>
      <c r="U18" s="257">
        <f t="shared" si="2"/>
        <v>19871442</v>
      </c>
      <c r="V18" s="257">
        <f t="shared" si="2"/>
        <v>9114183</v>
      </c>
      <c r="W18" s="206">
        <f t="shared" si="2"/>
        <v>0</v>
      </c>
      <c r="X18" s="206">
        <f t="shared" si="0"/>
        <v>623899159</v>
      </c>
      <c r="Y18" s="206"/>
      <c r="Z18" s="206">
        <v>255501</v>
      </c>
      <c r="AC18" s="294">
        <f>SUM(AC7:AC17)</f>
        <v>623899159</v>
      </c>
      <c r="AD18" s="252">
        <f t="shared" si="1"/>
        <v>0</v>
      </c>
    </row>
    <row r="19" spans="1:30" x14ac:dyDescent="0.2">
      <c r="B19" s="120"/>
      <c r="E19" s="255"/>
      <c r="F19" s="255"/>
      <c r="G19" s="255"/>
      <c r="H19" s="255"/>
      <c r="I19" s="255"/>
      <c r="J19" s="255"/>
      <c r="K19" s="255"/>
      <c r="L19" s="255"/>
      <c r="M19" s="255"/>
      <c r="N19" s="255"/>
      <c r="O19" s="255"/>
      <c r="P19" s="255"/>
      <c r="Q19" s="255"/>
      <c r="R19" s="255"/>
      <c r="S19" s="255"/>
      <c r="T19" s="255"/>
      <c r="U19" s="255"/>
      <c r="V19" s="255"/>
      <c r="W19" s="253"/>
      <c r="X19" s="253"/>
      <c r="Y19" s="205"/>
      <c r="Z19" s="205"/>
      <c r="AC19" s="294"/>
      <c r="AD19" s="252">
        <f t="shared" si="1"/>
        <v>0</v>
      </c>
    </row>
    <row r="20" spans="1:30" x14ac:dyDescent="0.2">
      <c r="B20" s="120"/>
      <c r="C20" s="159" t="s">
        <v>315</v>
      </c>
      <c r="E20" s="255"/>
      <c r="F20" s="255"/>
      <c r="G20" s="255"/>
      <c r="H20" s="255"/>
      <c r="I20" s="255"/>
      <c r="J20" s="255"/>
      <c r="K20" s="255"/>
      <c r="L20" s="255"/>
      <c r="M20" s="255"/>
      <c r="N20" s="255"/>
      <c r="O20" s="255"/>
      <c r="P20" s="255"/>
      <c r="Q20" s="255"/>
      <c r="R20" s="255"/>
      <c r="S20" s="255"/>
      <c r="T20" s="255"/>
      <c r="U20" s="255"/>
      <c r="V20" s="255"/>
      <c r="W20" s="205"/>
      <c r="X20" s="205"/>
      <c r="Y20" s="205"/>
      <c r="Z20" s="205"/>
      <c r="AC20" s="294"/>
      <c r="AD20" s="252">
        <f t="shared" si="1"/>
        <v>0</v>
      </c>
    </row>
    <row r="21" spans="1:30" ht="14.25" x14ac:dyDescent="0.25">
      <c r="A21" s="194">
        <v>2594</v>
      </c>
      <c r="B21" s="198">
        <v>604</v>
      </c>
      <c r="C21" s="199" t="s">
        <v>549</v>
      </c>
      <c r="D21" s="199"/>
      <c r="E21" s="258"/>
      <c r="F21" s="258">
        <v>0</v>
      </c>
      <c r="G21" s="258">
        <v>4295465</v>
      </c>
      <c r="H21" s="258"/>
      <c r="I21" s="258">
        <v>0</v>
      </c>
      <c r="J21" s="258">
        <v>0</v>
      </c>
      <c r="K21" s="258"/>
      <c r="L21" s="258">
        <v>0</v>
      </c>
      <c r="M21" s="258">
        <v>5024772</v>
      </c>
      <c r="N21" s="258"/>
      <c r="O21" s="258">
        <v>0</v>
      </c>
      <c r="P21" s="258"/>
      <c r="Q21" s="258">
        <v>0</v>
      </c>
      <c r="R21" s="258"/>
      <c r="S21" s="258"/>
      <c r="T21" s="258">
        <v>2678018</v>
      </c>
      <c r="U21" s="258">
        <v>3548162</v>
      </c>
      <c r="V21" s="258">
        <v>0</v>
      </c>
      <c r="W21" s="202"/>
      <c r="X21" s="202">
        <f t="shared" si="0"/>
        <v>15546417</v>
      </c>
      <c r="Y21" s="202"/>
      <c r="Z21" s="189">
        <v>8711</v>
      </c>
      <c r="AA21" s="165" t="s">
        <v>541</v>
      </c>
      <c r="AC21" s="294">
        <v>15546417</v>
      </c>
      <c r="AD21" s="252">
        <f t="shared" si="1"/>
        <v>0</v>
      </c>
    </row>
    <row r="22" spans="1:30" ht="15" x14ac:dyDescent="0.25">
      <c r="A22" s="194">
        <v>2595</v>
      </c>
      <c r="B22" s="198">
        <v>600</v>
      </c>
      <c r="C22" s="200" t="s">
        <v>520</v>
      </c>
      <c r="D22" s="199"/>
      <c r="E22" s="258"/>
      <c r="F22" s="258">
        <v>80332808</v>
      </c>
      <c r="G22" s="258">
        <v>55151680</v>
      </c>
      <c r="H22" s="258"/>
      <c r="I22" s="258">
        <v>17219719</v>
      </c>
      <c r="J22" s="258">
        <v>4785244</v>
      </c>
      <c r="K22" s="258"/>
      <c r="L22" s="258">
        <v>0</v>
      </c>
      <c r="M22" s="258">
        <v>0</v>
      </c>
      <c r="N22" s="258"/>
      <c r="O22" s="258">
        <v>0</v>
      </c>
      <c r="P22" s="258"/>
      <c r="Q22" s="258">
        <v>0</v>
      </c>
      <c r="R22" s="258"/>
      <c r="S22" s="258"/>
      <c r="T22" s="258">
        <v>2750613</v>
      </c>
      <c r="U22" s="258">
        <v>2809454</v>
      </c>
      <c r="V22" s="258">
        <v>4125835</v>
      </c>
      <c r="W22" s="202"/>
      <c r="X22" s="202">
        <f t="shared" si="0"/>
        <v>167175353</v>
      </c>
      <c r="Y22" s="202"/>
      <c r="Z22" s="189">
        <v>109755</v>
      </c>
      <c r="AA22" s="165" t="s">
        <v>541</v>
      </c>
      <c r="AC22" s="294">
        <v>167175353</v>
      </c>
      <c r="AD22" s="252">
        <f t="shared" si="1"/>
        <v>0</v>
      </c>
    </row>
    <row r="23" spans="1:30" ht="15" x14ac:dyDescent="0.25">
      <c r="A23" s="194">
        <v>2596</v>
      </c>
      <c r="B23" s="198">
        <v>602</v>
      </c>
      <c r="C23" s="200" t="s">
        <v>521</v>
      </c>
      <c r="D23" s="199"/>
      <c r="E23" s="258"/>
      <c r="F23" s="258">
        <v>0</v>
      </c>
      <c r="G23" s="258">
        <v>7409388</v>
      </c>
      <c r="H23" s="258"/>
      <c r="I23" s="258">
        <v>9458263</v>
      </c>
      <c r="J23" s="258">
        <v>3452219</v>
      </c>
      <c r="K23" s="258"/>
      <c r="L23" s="258">
        <v>0</v>
      </c>
      <c r="M23" s="258">
        <v>0</v>
      </c>
      <c r="N23" s="258"/>
      <c r="O23" s="258">
        <v>0</v>
      </c>
      <c r="P23" s="258"/>
      <c r="Q23" s="258">
        <v>0</v>
      </c>
      <c r="R23" s="258"/>
      <c r="S23" s="258"/>
      <c r="T23" s="258">
        <v>0</v>
      </c>
      <c r="U23" s="258">
        <v>0</v>
      </c>
      <c r="V23" s="258">
        <v>2469775</v>
      </c>
      <c r="W23" s="202"/>
      <c r="X23" s="202">
        <f t="shared" si="0"/>
        <v>22789645</v>
      </c>
      <c r="Y23" s="202"/>
      <c r="Z23" s="189">
        <v>21338</v>
      </c>
      <c r="AA23" s="165" t="s">
        <v>541</v>
      </c>
      <c r="AC23" s="294">
        <v>22789645</v>
      </c>
      <c r="AD23" s="252">
        <f t="shared" si="1"/>
        <v>0</v>
      </c>
    </row>
    <row r="24" spans="1:30" ht="13.5" x14ac:dyDescent="0.25">
      <c r="A24" s="194">
        <v>2630</v>
      </c>
      <c r="B24" s="160">
        <v>610</v>
      </c>
      <c r="C24" s="171" t="s">
        <v>322</v>
      </c>
      <c r="E24" s="259"/>
      <c r="F24" s="259">
        <v>33204121</v>
      </c>
      <c r="G24" s="259">
        <v>11337315</v>
      </c>
      <c r="H24" s="259"/>
      <c r="I24" s="259">
        <v>8780146</v>
      </c>
      <c r="J24" s="259">
        <v>3753966</v>
      </c>
      <c r="K24" s="259"/>
      <c r="L24" s="259">
        <v>17126385</v>
      </c>
      <c r="M24" s="260">
        <v>28439202</v>
      </c>
      <c r="N24" s="259"/>
      <c r="O24" s="259">
        <v>0</v>
      </c>
      <c r="P24" s="259"/>
      <c r="Q24" s="259">
        <v>8351441</v>
      </c>
      <c r="R24" s="259"/>
      <c r="S24" s="259"/>
      <c r="T24" s="259">
        <v>12285937</v>
      </c>
      <c r="U24" s="259">
        <v>737137</v>
      </c>
      <c r="V24" s="259">
        <v>993086</v>
      </c>
      <c r="W24" s="207"/>
      <c r="X24" s="207">
        <f t="shared" si="0"/>
        <v>125008736</v>
      </c>
      <c r="Y24" s="207"/>
      <c r="Z24" s="182">
        <v>74445</v>
      </c>
      <c r="AC24" s="294">
        <v>125008736</v>
      </c>
      <c r="AD24" s="252">
        <f t="shared" si="1"/>
        <v>0</v>
      </c>
    </row>
    <row r="25" spans="1:30" x14ac:dyDescent="0.2">
      <c r="B25" s="120"/>
      <c r="C25" s="170" t="s">
        <v>139</v>
      </c>
      <c r="E25" s="259"/>
      <c r="F25" s="259">
        <f>SUM(F21:F24)</f>
        <v>113536929</v>
      </c>
      <c r="G25" s="259">
        <f>SUM(G21:G24)</f>
        <v>78193848</v>
      </c>
      <c r="H25" s="259"/>
      <c r="I25" s="259">
        <f>SUM(I21:I24)</f>
        <v>35458128</v>
      </c>
      <c r="J25" s="259">
        <f>SUM(J21:J24)</f>
        <v>11991429</v>
      </c>
      <c r="K25" s="259"/>
      <c r="L25" s="259">
        <f>SUM(L21:L24)</f>
        <v>17126385</v>
      </c>
      <c r="M25" s="259">
        <f>SUM(M21:M24)</f>
        <v>33463974</v>
      </c>
      <c r="N25" s="259"/>
      <c r="O25" s="259">
        <f>SUM(O21:O24)</f>
        <v>0</v>
      </c>
      <c r="P25" s="259"/>
      <c r="Q25" s="259">
        <f>SUM(Q21:Q24)</f>
        <v>8351441</v>
      </c>
      <c r="R25" s="259"/>
      <c r="S25" s="259"/>
      <c r="T25" s="259">
        <f>SUM(T21:T24)</f>
        <v>17714568</v>
      </c>
      <c r="U25" s="259">
        <f>SUM(U21:U24)</f>
        <v>7094753</v>
      </c>
      <c r="V25" s="259">
        <f>SUM(V21:V24)</f>
        <v>7588696</v>
      </c>
      <c r="W25" s="207">
        <v>0</v>
      </c>
      <c r="X25" s="207">
        <f t="shared" si="0"/>
        <v>330520151</v>
      </c>
      <c r="Y25" s="205"/>
      <c r="Z25" s="207">
        <v>214249</v>
      </c>
      <c r="AC25" s="294">
        <v>330520151</v>
      </c>
      <c r="AD25" s="252">
        <f t="shared" si="1"/>
        <v>0</v>
      </c>
    </row>
    <row r="26" spans="1:30" x14ac:dyDescent="0.2">
      <c r="E26" s="255"/>
      <c r="F26" s="255"/>
      <c r="G26" s="255"/>
      <c r="H26" s="255"/>
      <c r="I26" s="255"/>
      <c r="J26" s="255"/>
      <c r="K26" s="255"/>
      <c r="L26" s="255"/>
      <c r="M26" s="255"/>
      <c r="N26" s="255"/>
      <c r="O26" s="255"/>
      <c r="P26" s="255"/>
      <c r="Q26" s="255"/>
      <c r="R26" s="255"/>
      <c r="S26" s="255"/>
      <c r="T26" s="255"/>
      <c r="U26" s="255"/>
      <c r="V26" s="255"/>
      <c r="W26" s="205"/>
      <c r="X26" s="205"/>
      <c r="Y26" s="205"/>
      <c r="Z26" s="205"/>
      <c r="AC26" s="294"/>
      <c r="AD26" s="252">
        <f t="shared" si="1"/>
        <v>0</v>
      </c>
    </row>
    <row r="27" spans="1:30" x14ac:dyDescent="0.2">
      <c r="C27" s="195" t="s">
        <v>323</v>
      </c>
      <c r="E27" s="255"/>
      <c r="F27" s="255">
        <f>+F18-F25</f>
        <v>138056131</v>
      </c>
      <c r="G27" s="255">
        <f>+G18-G25</f>
        <v>82328429</v>
      </c>
      <c r="H27" s="255"/>
      <c r="I27" s="255">
        <f>+I18-I25</f>
        <v>8985473</v>
      </c>
      <c r="J27" s="255">
        <f>+J18-J25</f>
        <v>-1151056</v>
      </c>
      <c r="K27" s="255"/>
      <c r="L27" s="255">
        <f>+L18-L25</f>
        <v>28125324</v>
      </c>
      <c r="M27" s="255">
        <f>+M18-M25</f>
        <v>8008203</v>
      </c>
      <c r="N27" s="255"/>
      <c r="O27" s="255">
        <v>0</v>
      </c>
      <c r="P27" s="255"/>
      <c r="Q27" s="255">
        <f>+Q18-Q25</f>
        <v>9263148</v>
      </c>
      <c r="R27" s="255"/>
      <c r="S27" s="255"/>
      <c r="T27" s="255">
        <f>+T18-T25</f>
        <v>5461180</v>
      </c>
      <c r="U27" s="255">
        <f>+U18-U25</f>
        <v>12776689</v>
      </c>
      <c r="V27" s="255">
        <v>1525487</v>
      </c>
      <c r="W27" s="205"/>
      <c r="X27" s="205">
        <f t="shared" si="0"/>
        <v>293379008</v>
      </c>
      <c r="Y27" s="205"/>
      <c r="Z27" s="205">
        <v>41252</v>
      </c>
      <c r="AC27" s="294">
        <v>293379008</v>
      </c>
      <c r="AD27" s="252">
        <f t="shared" si="1"/>
        <v>0</v>
      </c>
    </row>
    <row r="28" spans="1:30" ht="13.5" x14ac:dyDescent="0.25">
      <c r="C28" s="171"/>
      <c r="E28" s="255"/>
      <c r="F28" s="151"/>
      <c r="G28" s="255"/>
      <c r="H28" s="255">
        <v>0</v>
      </c>
      <c r="I28" s="255"/>
      <c r="J28" s="255"/>
      <c r="K28" s="255"/>
      <c r="L28" s="255"/>
      <c r="M28" s="255"/>
      <c r="N28" s="255"/>
      <c r="O28" s="255">
        <v>0</v>
      </c>
      <c r="P28" s="255"/>
      <c r="Q28" s="255"/>
      <c r="R28" s="255"/>
      <c r="S28" s="255"/>
      <c r="T28" s="255"/>
      <c r="U28" s="255"/>
      <c r="V28" s="255"/>
      <c r="W28" s="205"/>
      <c r="X28" s="205">
        <f t="shared" si="0"/>
        <v>0</v>
      </c>
      <c r="Y28" s="205"/>
      <c r="Z28" s="177">
        <v>0</v>
      </c>
      <c r="AC28" s="294"/>
      <c r="AD28" s="252">
        <f t="shared" si="1"/>
        <v>0</v>
      </c>
    </row>
    <row r="29" spans="1:30" x14ac:dyDescent="0.2">
      <c r="A29" s="194">
        <v>2980</v>
      </c>
      <c r="C29" s="171" t="s">
        <v>324</v>
      </c>
      <c r="E29" s="255"/>
      <c r="F29" s="255">
        <v>1487466612</v>
      </c>
      <c r="G29" s="255">
        <v>925620169</v>
      </c>
      <c r="H29" s="255"/>
      <c r="I29" s="255">
        <v>260182706</v>
      </c>
      <c r="J29" s="255">
        <v>57534724</v>
      </c>
      <c r="K29" s="255"/>
      <c r="L29" s="255">
        <v>203811931</v>
      </c>
      <c r="M29" s="255">
        <v>57202204</v>
      </c>
      <c r="N29" s="255"/>
      <c r="O29" s="255">
        <v>0</v>
      </c>
      <c r="P29" s="255"/>
      <c r="Q29" s="255">
        <v>67227053</v>
      </c>
      <c r="R29" s="255"/>
      <c r="S29" s="255"/>
      <c r="T29" s="255">
        <v>48183667</v>
      </c>
      <c r="U29" s="255">
        <v>99301879</v>
      </c>
      <c r="V29" s="255">
        <v>41370097</v>
      </c>
      <c r="W29" s="205">
        <v>-158131248</v>
      </c>
      <c r="X29" s="205">
        <f t="shared" si="0"/>
        <v>3247901042</v>
      </c>
      <c r="Y29" s="205"/>
      <c r="Z29" s="203">
        <v>2226719</v>
      </c>
      <c r="AC29" s="294">
        <v>3247901042</v>
      </c>
      <c r="AD29" s="252">
        <f t="shared" si="1"/>
        <v>0</v>
      </c>
    </row>
    <row r="30" spans="1:30" x14ac:dyDescent="0.2">
      <c r="A30" s="194">
        <v>2990</v>
      </c>
      <c r="C30" s="171" t="s">
        <v>142</v>
      </c>
      <c r="E30" s="255"/>
      <c r="F30" s="255">
        <v>-3045477</v>
      </c>
      <c r="G30" s="255">
        <v>0</v>
      </c>
      <c r="H30" s="255"/>
      <c r="I30" s="255">
        <v>2746431</v>
      </c>
      <c r="J30" s="255">
        <v>0</v>
      </c>
      <c r="K30" s="255"/>
      <c r="L30" s="255">
        <v>1708830</v>
      </c>
      <c r="M30" s="255">
        <v>-2608635</v>
      </c>
      <c r="N30" s="255"/>
      <c r="O30" s="255">
        <v>0</v>
      </c>
      <c r="P30" s="255"/>
      <c r="Q30" s="255">
        <v>0</v>
      </c>
      <c r="R30" s="255"/>
      <c r="S30" s="255"/>
      <c r="T30" s="255">
        <v>0</v>
      </c>
      <c r="U30" s="255">
        <v>-76879</v>
      </c>
      <c r="V30" s="255">
        <v>0</v>
      </c>
      <c r="W30" s="207">
        <v>158131248</v>
      </c>
      <c r="X30" s="205">
        <f t="shared" si="0"/>
        <v>-1275730</v>
      </c>
      <c r="Y30" s="205"/>
      <c r="Z30" s="203">
        <v>0</v>
      </c>
      <c r="AC30" s="294">
        <v>-1275730</v>
      </c>
      <c r="AD30" s="252">
        <f t="shared" si="1"/>
        <v>0</v>
      </c>
    </row>
    <row r="31" spans="1:30" ht="13.5" thickBot="1" x14ac:dyDescent="0.25">
      <c r="A31" s="194">
        <v>3000</v>
      </c>
      <c r="C31" s="171" t="s">
        <v>326</v>
      </c>
      <c r="E31" s="261"/>
      <c r="F31" s="261">
        <f>SUM(F27:F30)</f>
        <v>1622477266</v>
      </c>
      <c r="G31" s="261">
        <f>SUM(G27:G30)</f>
        <v>1007948598</v>
      </c>
      <c r="H31" s="261">
        <f t="shared" ref="H31:V31" si="3">SUM(H27:H30)</f>
        <v>0</v>
      </c>
      <c r="I31" s="261">
        <f t="shared" si="3"/>
        <v>271914610</v>
      </c>
      <c r="J31" s="261">
        <f t="shared" si="3"/>
        <v>56383668</v>
      </c>
      <c r="K31" s="261">
        <f t="shared" si="3"/>
        <v>0</v>
      </c>
      <c r="L31" s="261">
        <f t="shared" si="3"/>
        <v>233646085</v>
      </c>
      <c r="M31" s="261">
        <f t="shared" si="3"/>
        <v>62601772</v>
      </c>
      <c r="N31" s="261">
        <f t="shared" si="3"/>
        <v>0</v>
      </c>
      <c r="O31" s="261">
        <f t="shared" si="3"/>
        <v>0</v>
      </c>
      <c r="P31" s="261">
        <f t="shared" si="3"/>
        <v>0</v>
      </c>
      <c r="Q31" s="261">
        <f t="shared" si="3"/>
        <v>76490201</v>
      </c>
      <c r="R31" s="261">
        <f t="shared" si="3"/>
        <v>0</v>
      </c>
      <c r="S31" s="261">
        <f t="shared" si="3"/>
        <v>0</v>
      </c>
      <c r="T31" s="261">
        <f t="shared" si="3"/>
        <v>53644847</v>
      </c>
      <c r="U31" s="261">
        <f t="shared" si="3"/>
        <v>112001689</v>
      </c>
      <c r="V31" s="261">
        <f t="shared" si="3"/>
        <v>42895584</v>
      </c>
      <c r="W31" s="208">
        <v>0</v>
      </c>
      <c r="X31" s="208">
        <f t="shared" si="0"/>
        <v>3540004320</v>
      </c>
      <c r="Y31" s="208"/>
      <c r="Z31" s="208">
        <v>2267971</v>
      </c>
      <c r="AC31" s="294">
        <v>3540004320</v>
      </c>
      <c r="AD31" s="252">
        <f t="shared" si="1"/>
        <v>0</v>
      </c>
    </row>
    <row r="32" spans="1:30" ht="13.5" thickTop="1" x14ac:dyDescent="0.2">
      <c r="E32" s="32"/>
      <c r="F32" s="32"/>
      <c r="G32" s="32"/>
      <c r="H32" s="32"/>
      <c r="I32" s="32"/>
      <c r="J32" s="32"/>
      <c r="K32" s="32"/>
      <c r="L32" s="32"/>
      <c r="M32" s="32"/>
      <c r="N32" s="32"/>
      <c r="O32" s="32"/>
      <c r="P32" s="32"/>
      <c r="Q32" s="32"/>
      <c r="R32" s="32"/>
      <c r="S32" s="32"/>
      <c r="T32" s="32"/>
      <c r="U32" s="32"/>
      <c r="V32" s="32"/>
      <c r="W32" s="204"/>
      <c r="X32" s="204"/>
      <c r="Y32" s="204"/>
      <c r="Z32" s="204"/>
      <c r="AC32" s="294"/>
      <c r="AD32" s="252"/>
    </row>
    <row r="33" spans="3:29" x14ac:dyDescent="0.2">
      <c r="C33" s="73" t="s">
        <v>550</v>
      </c>
      <c r="E33" s="27" t="str">
        <f>IF(E31='PYExhD Data'!E42,"OK","Problem")</f>
        <v>OK</v>
      </c>
      <c r="F33" s="27" t="str">
        <f>IF(F31='PYExhD Data'!F42,"OK","Problem")</f>
        <v>OK</v>
      </c>
      <c r="G33" s="27" t="str">
        <f>IF(G31='PYExhD Data'!G42,"OK","Problem")</f>
        <v>OK</v>
      </c>
      <c r="H33" s="27" t="str">
        <f>IF(H31='PYExhD Data'!H42,"OK","Problem")</f>
        <v>OK</v>
      </c>
      <c r="I33" s="27" t="str">
        <f>IF(I31='PYExhD Data'!I42,"OK","Problem")</f>
        <v>OK</v>
      </c>
      <c r="J33" s="27" t="str">
        <f>IF(J31='PYExhD Data'!J42,"OK","Problem")</f>
        <v>OK</v>
      </c>
      <c r="K33" s="27" t="str">
        <f>IF(K31='PYExhD Data'!K42,"OK","Problem")</f>
        <v>OK</v>
      </c>
      <c r="L33" s="27" t="str">
        <f>IF(L31='PYExhD Data'!L42,"OK","Problem")</f>
        <v>OK</v>
      </c>
      <c r="M33" s="27" t="str">
        <f>IF(M31='PYExhD Data'!M42,"OK","Problem")</f>
        <v>OK</v>
      </c>
      <c r="N33" s="27" t="str">
        <f>IF(N31='PYExhD Data'!N42,"OK","Problem")</f>
        <v>OK</v>
      </c>
      <c r="O33" s="27" t="str">
        <f>IF(O31='PYExhD Data'!O42,"OK","Problem")</f>
        <v>OK</v>
      </c>
      <c r="P33" s="27" t="str">
        <f>IF(P31='PYExhD Data'!P42,"OK","Problem")</f>
        <v>OK</v>
      </c>
      <c r="Q33" s="27" t="str">
        <f>IF(Q31='PYExhD Data'!Q42,"OK","Problem")</f>
        <v>OK</v>
      </c>
      <c r="R33" s="27" t="str">
        <f>IF(R31='PYExhD Data'!R42,"OK","Problem")</f>
        <v>OK</v>
      </c>
      <c r="S33" s="27" t="str">
        <f>IF(S31='PYExhD Data'!S42,"OK","Problem")</f>
        <v>OK</v>
      </c>
      <c r="T33" s="27" t="str">
        <f>IF(T31='PYExhD Data'!T42,"OK","Problem")</f>
        <v>OK</v>
      </c>
      <c r="U33" s="27" t="str">
        <f>IF(U31='PYExhD Data'!U42,"OK","Problem")</f>
        <v>OK</v>
      </c>
      <c r="V33" s="27" t="str">
        <f>IF(V31='PYExhD Data'!V42,"OK","Problem")</f>
        <v>OK</v>
      </c>
      <c r="W33" s="74" t="str">
        <f>IF(W31='PYExhD Data'!W42,"OK","Problem")</f>
        <v>OK</v>
      </c>
      <c r="X33" s="74" t="str">
        <f>IF(X31='PYExhD Data'!X42,"OK","Problem")</f>
        <v>OK</v>
      </c>
      <c r="Y33" s="74"/>
      <c r="Z33" s="74" t="str">
        <f>IF(Z31='PYExhD Data'!AF42,"OK","Problem")</f>
        <v>OK</v>
      </c>
      <c r="AC33" s="294"/>
    </row>
    <row r="35" spans="3:29" x14ac:dyDescent="0.2">
      <c r="C35" s="73" t="s">
        <v>551</v>
      </c>
      <c r="E35" s="27" t="str">
        <f>IF(E31-'Net Assets'!$C5=0,"OK","PROBLEM")</f>
        <v>OK</v>
      </c>
      <c r="F35" s="27" t="str">
        <f>IF(F31-'Net Assets'!$C6=0,"OK","PROBLEM")</f>
        <v>OK</v>
      </c>
      <c r="G35" s="27" t="str">
        <f>IF(G31-'Net Assets'!$C7=0,"OK","PROBLEM")</f>
        <v>OK</v>
      </c>
      <c r="H35" s="27" t="str">
        <f>IF(H31-'Net Assets'!$C8=0,"OK","PROBLEM")</f>
        <v>OK</v>
      </c>
      <c r="I35" s="27" t="str">
        <f>IF(I31-'Net Assets'!$C9=0,"OK","PROBLEM")</f>
        <v>OK</v>
      </c>
      <c r="J35" s="27" t="str">
        <f>IF(J31-'Net Assets'!$C10=0,"OK","PROBLEM")</f>
        <v>OK</v>
      </c>
      <c r="K35" s="27" t="str">
        <f>IF(K31-'Net Assets'!$C11=0,"OK","PROBLEM")</f>
        <v>OK</v>
      </c>
      <c r="L35" s="27" t="str">
        <f>IF(L31-'Net Assets'!$C12=0,"OK","PROBLEM")</f>
        <v>OK</v>
      </c>
      <c r="M35" s="27" t="str">
        <f>IF(M31-'Net Assets'!$C13=0,"OK","PROBLEM")</f>
        <v>OK</v>
      </c>
      <c r="N35" s="27" t="str">
        <f>IF(N31-'Net Assets'!$C14=0,"OK","PROBLEM")</f>
        <v>OK</v>
      </c>
      <c r="O35" s="27" t="str">
        <f>IF(O31-'Net Assets'!$C15=0,"OK","PROBLEM")</f>
        <v>OK</v>
      </c>
      <c r="P35" s="27" t="str">
        <f>IF(P31-'Net Assets'!$C16=0,"OK","PROBLEM")</f>
        <v>OK</v>
      </c>
      <c r="Q35" s="27" t="str">
        <f>IF(Q31-'Net Assets'!$C17=0,"OK","PROBLEM")</f>
        <v>OK</v>
      </c>
      <c r="R35" s="27" t="str">
        <f>IF(R31-'Net Assets'!$C18=0,"OK","PROBLEM")</f>
        <v>OK</v>
      </c>
      <c r="S35" s="27" t="str">
        <f>IF(S31-'Net Assets'!$C19=0,"OK","PROBLEM")</f>
        <v>OK</v>
      </c>
      <c r="T35" s="27" t="str">
        <f>IF(T31-'Net Assets'!$C20=0,"OK","PROBLEM")</f>
        <v>OK</v>
      </c>
      <c r="U35" s="27" t="str">
        <f>IF(U31-'Net Assets'!$C21=0,"OK","PROBLEM")</f>
        <v>OK</v>
      </c>
      <c r="V35" s="27" t="str">
        <f>IF(V31-'Net Assets'!$C22=0,"OK","PROBLEM")</f>
        <v>OK</v>
      </c>
      <c r="W35" s="27" t="str">
        <f>IF(W31-'Net Assets'!$C6=0,"OK","PROBLEM")</f>
        <v>PROBLEM</v>
      </c>
      <c r="X35" s="27" t="str">
        <f>IF(X31-'Net Assets'!$C23=0,"OK","PROBLEM")</f>
        <v>OK</v>
      </c>
    </row>
    <row r="36" spans="3:29" x14ac:dyDescent="0.2">
      <c r="F36" s="252"/>
      <c r="G36" s="252"/>
      <c r="H36" s="252"/>
      <c r="I36" s="252"/>
      <c r="J36" s="252"/>
      <c r="K36" s="252"/>
      <c r="L36" s="252"/>
      <c r="M36" s="252"/>
      <c r="N36" s="252"/>
      <c r="O36" s="252"/>
      <c r="P36" s="252"/>
      <c r="Q36" s="252"/>
      <c r="R36" s="252"/>
      <c r="S36" s="252"/>
      <c r="T36" s="252"/>
      <c r="U36" s="252"/>
    </row>
    <row r="37" spans="3:29" x14ac:dyDescent="0.2">
      <c r="L37" s="171"/>
    </row>
  </sheetData>
  <sheetProtection algorithmName="SHA-512" hashValue="aC4+LK7uNRHAP9LvalKGz2wLI0Y/AFtD5MqIhFTwc0kTwh8OwIjuvMepYGlMler1p3gMlay3O4Zcb7vhQwkZlw==" saltValue="He7R5+Tp96RZCTA7+dsPXg==" spinCount="100000" sheet="1" autoFilter="0"/>
  <pageMargins left="0.5" right="0.25" top="0.5" bottom="0.4" header="0.5" footer="0.25"/>
  <pageSetup orientation="landscape" r:id="rId1"/>
  <ignoredErrors>
    <ignoredError sqref="X7:X18 E33:V33 X21:X33" unlockedFormula="1"/>
  </ignoredError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DDDA6-F9C4-4405-84C8-1236A3E826BD}">
  <sheetPr codeName="Sheet15"/>
  <dimension ref="A1:R131"/>
  <sheetViews>
    <sheetView zoomScale="115" zoomScaleNormal="115" workbookViewId="0">
      <selection activeCell="D1" sqref="D1"/>
    </sheetView>
  </sheetViews>
  <sheetFormatPr defaultColWidth="9.140625" defaultRowHeight="12.75" x14ac:dyDescent="0.2"/>
  <cols>
    <col min="4" max="4" width="69.42578125" customWidth="1"/>
    <col min="5" max="5" width="77.28515625" customWidth="1"/>
    <col min="6" max="6" width="41.42578125" customWidth="1"/>
    <col min="7" max="7" width="12.140625" customWidth="1"/>
    <col min="9" max="9" width="33" hidden="1" customWidth="1"/>
    <col min="10" max="18" width="0" hidden="1" customWidth="1"/>
  </cols>
  <sheetData>
    <row r="1" spans="1:18" ht="23.25" x14ac:dyDescent="0.35">
      <c r="A1" s="495" t="s">
        <v>552</v>
      </c>
      <c r="I1" s="588" t="s">
        <v>553</v>
      </c>
      <c r="J1" s="589"/>
      <c r="K1" s="589"/>
      <c r="L1" s="589"/>
      <c r="M1" s="589"/>
      <c r="N1" s="589"/>
      <c r="O1" s="496"/>
      <c r="P1" s="496"/>
      <c r="Q1" s="496"/>
      <c r="R1" s="496"/>
    </row>
    <row r="2" spans="1:18" x14ac:dyDescent="0.2">
      <c r="C2" s="32"/>
      <c r="D2" s="151"/>
      <c r="E2" s="497" t="s">
        <v>554</v>
      </c>
      <c r="F2" s="498" t="s">
        <v>555</v>
      </c>
      <c r="I2" s="496"/>
      <c r="J2" s="496"/>
      <c r="K2" s="496"/>
      <c r="L2" s="496"/>
      <c r="M2" s="496"/>
      <c r="N2" s="496"/>
      <c r="O2" s="496"/>
      <c r="P2" s="496"/>
      <c r="Q2" s="496"/>
      <c r="R2" s="496"/>
    </row>
    <row r="3" spans="1:18" x14ac:dyDescent="0.2">
      <c r="C3" s="151"/>
      <c r="D3" s="136" t="s">
        <v>55</v>
      </c>
      <c r="E3" s="1" t="s">
        <v>362</v>
      </c>
      <c r="F3" t="s">
        <v>552</v>
      </c>
      <c r="I3" s="496"/>
      <c r="J3" s="496"/>
      <c r="K3" s="496"/>
      <c r="L3" s="496"/>
      <c r="M3" s="496"/>
      <c r="N3" s="496"/>
      <c r="O3" s="496"/>
      <c r="P3" s="496"/>
      <c r="Q3" s="496"/>
      <c r="R3" s="496"/>
    </row>
    <row r="4" spans="1:18" ht="15.75" x14ac:dyDescent="0.25">
      <c r="C4" s="33">
        <v>100</v>
      </c>
      <c r="D4" s="32" t="s">
        <v>56</v>
      </c>
      <c r="E4" t="str">
        <f t="shared" ref="E4:E6" si="0">+C4&amp;" "&amp;D4</f>
        <v>100 Cash and cash equivalents</v>
      </c>
      <c r="F4" t="s">
        <v>556</v>
      </c>
      <c r="I4" s="354" t="s">
        <v>556</v>
      </c>
      <c r="J4" s="496"/>
      <c r="K4" s="496"/>
      <c r="L4" s="496"/>
      <c r="M4" s="496"/>
      <c r="N4" s="496"/>
      <c r="O4" s="496"/>
      <c r="P4" s="496"/>
      <c r="Q4" s="496"/>
      <c r="R4" s="496"/>
    </row>
    <row r="5" spans="1:18" ht="15.75" x14ac:dyDescent="0.25">
      <c r="C5" s="33">
        <v>130</v>
      </c>
      <c r="D5" s="32" t="s">
        <v>159</v>
      </c>
      <c r="E5" t="str">
        <f t="shared" si="0"/>
        <v>130 Restricted/endowment investments</v>
      </c>
      <c r="F5" t="s">
        <v>557</v>
      </c>
      <c r="I5" s="354" t="s">
        <v>558</v>
      </c>
      <c r="J5" s="355" t="s">
        <v>559</v>
      </c>
      <c r="K5" s="496"/>
      <c r="L5" s="496"/>
      <c r="M5" s="496"/>
      <c r="N5" s="496"/>
      <c r="O5" s="496"/>
      <c r="P5" s="496"/>
      <c r="Q5" s="496"/>
      <c r="R5" s="496"/>
    </row>
    <row r="6" spans="1:18" ht="15.75" x14ac:dyDescent="0.25">
      <c r="C6" s="33">
        <v>105</v>
      </c>
      <c r="D6" s="32" t="s">
        <v>160</v>
      </c>
      <c r="E6" s="499" t="str">
        <f t="shared" si="0"/>
        <v>105 Other investments</v>
      </c>
      <c r="F6" s="318" t="s">
        <v>560</v>
      </c>
      <c r="I6" s="354" t="s">
        <v>561</v>
      </c>
      <c r="J6" s="354" t="s">
        <v>562</v>
      </c>
      <c r="K6" s="496"/>
      <c r="L6" s="496"/>
      <c r="M6" s="496"/>
      <c r="N6" s="496"/>
      <c r="O6" s="496"/>
      <c r="P6" s="496"/>
      <c r="Q6" s="496"/>
      <c r="R6" s="496"/>
    </row>
    <row r="7" spans="1:18" ht="15.75" x14ac:dyDescent="0.25">
      <c r="C7" s="33">
        <v>105</v>
      </c>
      <c r="D7" s="32" t="s">
        <v>59</v>
      </c>
      <c r="E7" t="str">
        <f t="shared" ref="E7:E25" si="1">+C7&amp;" "&amp;D7</f>
        <v>105 Investment in joint venture</v>
      </c>
      <c r="F7" s="318" t="s">
        <v>560</v>
      </c>
      <c r="I7" s="354" t="s">
        <v>563</v>
      </c>
      <c r="J7" s="354" t="s">
        <v>564</v>
      </c>
      <c r="K7" s="496"/>
      <c r="L7" s="496"/>
      <c r="M7" s="496"/>
      <c r="N7" s="496"/>
      <c r="O7" s="496"/>
      <c r="P7" s="496"/>
      <c r="Q7" s="496"/>
      <c r="R7" s="496"/>
    </row>
    <row r="8" spans="1:18" ht="15.75" x14ac:dyDescent="0.25">
      <c r="C8" s="33">
        <v>105</v>
      </c>
      <c r="D8" s="32" t="s">
        <v>60</v>
      </c>
      <c r="E8" t="str">
        <f t="shared" si="1"/>
        <v>105 Cash surrender value of life insurance</v>
      </c>
      <c r="F8" s="318" t="s">
        <v>560</v>
      </c>
      <c r="I8" s="354" t="s">
        <v>565</v>
      </c>
      <c r="J8" s="354" t="s">
        <v>566</v>
      </c>
      <c r="K8" s="496"/>
      <c r="L8" s="496"/>
      <c r="M8" s="496"/>
      <c r="N8" s="496"/>
      <c r="O8" s="496"/>
      <c r="P8" s="496"/>
      <c r="Q8" s="496"/>
      <c r="R8" s="496"/>
    </row>
    <row r="9" spans="1:18" ht="15.75" x14ac:dyDescent="0.25">
      <c r="C9" s="33">
        <v>105</v>
      </c>
      <c r="D9" s="32" t="s">
        <v>61</v>
      </c>
      <c r="E9" t="str">
        <f t="shared" si="1"/>
        <v>105 Assets held in charitable trusts and annuities</v>
      </c>
      <c r="F9" s="318" t="s">
        <v>560</v>
      </c>
      <c r="I9" s="354" t="s">
        <v>567</v>
      </c>
      <c r="J9" s="354" t="s">
        <v>568</v>
      </c>
      <c r="K9" s="496"/>
      <c r="L9" s="496"/>
      <c r="M9" s="496"/>
      <c r="N9" s="496"/>
      <c r="O9" s="496"/>
      <c r="P9" s="496"/>
      <c r="Q9" s="496"/>
      <c r="R9" s="496"/>
    </row>
    <row r="10" spans="1:18" ht="15.75" x14ac:dyDescent="0.25">
      <c r="C10" s="33">
        <v>105</v>
      </c>
      <c r="D10" s="32" t="s">
        <v>62</v>
      </c>
      <c r="E10" t="str">
        <f t="shared" si="1"/>
        <v>105 Security deposits</v>
      </c>
      <c r="F10" s="318" t="s">
        <v>560</v>
      </c>
      <c r="I10" s="354" t="s">
        <v>569</v>
      </c>
      <c r="J10" s="354" t="s">
        <v>570</v>
      </c>
      <c r="K10" s="496"/>
      <c r="L10" s="496"/>
      <c r="M10" s="496"/>
      <c r="N10" s="496"/>
      <c r="O10" s="496"/>
      <c r="P10" s="496"/>
      <c r="Q10" s="496"/>
      <c r="R10" s="496"/>
    </row>
    <row r="11" spans="1:18" ht="15.75" x14ac:dyDescent="0.25">
      <c r="C11" s="33">
        <v>105</v>
      </c>
      <c r="D11" s="32" t="s">
        <v>63</v>
      </c>
      <c r="E11" t="str">
        <f t="shared" si="1"/>
        <v>105 Assets held by trustee</v>
      </c>
      <c r="F11" s="318" t="s">
        <v>560</v>
      </c>
      <c r="I11" s="354" t="s">
        <v>571</v>
      </c>
      <c r="J11" s="354" t="s">
        <v>572</v>
      </c>
      <c r="K11" s="496"/>
      <c r="L11" s="496"/>
      <c r="M11" s="496"/>
      <c r="N11" s="496"/>
      <c r="O11" s="496"/>
      <c r="P11" s="496"/>
      <c r="Q11" s="496"/>
      <c r="R11" s="496"/>
    </row>
    <row r="12" spans="1:18" ht="15.75" x14ac:dyDescent="0.25">
      <c r="C12" s="33">
        <v>105</v>
      </c>
      <c r="D12" s="32" t="s">
        <v>64</v>
      </c>
      <c r="E12" t="str">
        <f t="shared" si="1"/>
        <v>105 Real estate held for resale</v>
      </c>
      <c r="F12" s="318" t="s">
        <v>560</v>
      </c>
      <c r="I12" s="354" t="s">
        <v>573</v>
      </c>
      <c r="J12" s="354" t="s">
        <v>574</v>
      </c>
      <c r="K12" s="496"/>
      <c r="L12" s="496"/>
      <c r="M12" s="496"/>
      <c r="N12" s="496"/>
      <c r="O12" s="496"/>
      <c r="P12" s="496"/>
      <c r="Q12" s="496"/>
      <c r="R12" s="496"/>
    </row>
    <row r="13" spans="1:18" ht="15.75" x14ac:dyDescent="0.25">
      <c r="C13" s="33">
        <v>110</v>
      </c>
      <c r="D13" s="32" t="s">
        <v>65</v>
      </c>
      <c r="E13" t="str">
        <f t="shared" si="1"/>
        <v>110 Receivables, net</v>
      </c>
      <c r="F13" s="318" t="s">
        <v>575</v>
      </c>
      <c r="I13" s="354" t="s">
        <v>576</v>
      </c>
      <c r="J13" s="354" t="s">
        <v>577</v>
      </c>
      <c r="K13" s="496"/>
      <c r="L13" s="496"/>
      <c r="M13" s="496"/>
      <c r="N13" s="496"/>
      <c r="O13" s="496"/>
      <c r="P13" s="496"/>
      <c r="Q13" s="496"/>
      <c r="R13" s="496"/>
    </row>
    <row r="14" spans="1:18" ht="15.75" x14ac:dyDescent="0.25">
      <c r="C14" s="33">
        <v>110</v>
      </c>
      <c r="D14" s="32" t="s">
        <v>66</v>
      </c>
      <c r="E14" t="str">
        <f t="shared" si="1"/>
        <v>110 Promises to give</v>
      </c>
      <c r="F14" s="318" t="s">
        <v>575</v>
      </c>
      <c r="I14" s="354" t="s">
        <v>578</v>
      </c>
      <c r="J14" s="354" t="s">
        <v>579</v>
      </c>
      <c r="K14" s="496"/>
      <c r="L14" s="496"/>
      <c r="M14" s="496"/>
      <c r="N14" s="496"/>
      <c r="O14" s="496"/>
      <c r="P14" s="496"/>
      <c r="Q14" s="496"/>
      <c r="R14" s="496"/>
    </row>
    <row r="15" spans="1:18" ht="15.75" x14ac:dyDescent="0.25">
      <c r="C15" s="33">
        <v>112</v>
      </c>
      <c r="D15" s="32" t="s">
        <v>261</v>
      </c>
      <c r="E15" s="337" t="str">
        <f t="shared" si="1"/>
        <v>112 Due from the University</v>
      </c>
      <c r="F15" s="338" t="s">
        <v>580</v>
      </c>
      <c r="I15" s="354" t="s">
        <v>581</v>
      </c>
      <c r="J15" s="354" t="s">
        <v>582</v>
      </c>
      <c r="K15" s="496"/>
      <c r="L15" s="496"/>
      <c r="M15" s="496"/>
      <c r="N15" s="496"/>
      <c r="O15" s="496"/>
      <c r="P15" s="496"/>
      <c r="Q15" s="496"/>
      <c r="R15" s="496"/>
    </row>
    <row r="16" spans="1:18" ht="15.75" x14ac:dyDescent="0.25">
      <c r="C16" s="33">
        <v>115</v>
      </c>
      <c r="D16" s="32" t="s">
        <v>68</v>
      </c>
      <c r="E16" t="str">
        <f t="shared" si="1"/>
        <v>115 Inventories</v>
      </c>
      <c r="F16" s="318" t="s">
        <v>583</v>
      </c>
      <c r="I16" s="354" t="s">
        <v>584</v>
      </c>
      <c r="J16" s="354" t="s">
        <v>585</v>
      </c>
      <c r="K16" s="496"/>
      <c r="L16" s="496"/>
      <c r="M16" s="496"/>
      <c r="N16" s="496"/>
      <c r="O16" s="496"/>
      <c r="P16" s="496"/>
      <c r="Q16" s="496"/>
      <c r="R16" s="496"/>
    </row>
    <row r="17" spans="3:18" ht="15.75" x14ac:dyDescent="0.25">
      <c r="C17" s="33">
        <v>120</v>
      </c>
      <c r="D17" s="32" t="s">
        <v>69</v>
      </c>
      <c r="E17" t="str">
        <f t="shared" si="1"/>
        <v>120 Prepaid expenses</v>
      </c>
      <c r="F17" s="318" t="s">
        <v>586</v>
      </c>
      <c r="I17" s="354" t="s">
        <v>583</v>
      </c>
      <c r="J17" s="354" t="s">
        <v>587</v>
      </c>
      <c r="K17" s="496"/>
      <c r="L17" s="496"/>
      <c r="M17" s="496"/>
      <c r="N17" s="496"/>
      <c r="O17" s="496"/>
      <c r="P17" s="496"/>
      <c r="Q17" s="496"/>
      <c r="R17" s="496"/>
    </row>
    <row r="18" spans="3:18" ht="15.75" x14ac:dyDescent="0.25">
      <c r="C18" s="33">
        <v>125</v>
      </c>
      <c r="D18" s="32" t="s">
        <v>70</v>
      </c>
      <c r="E18" t="str">
        <f t="shared" si="1"/>
        <v>125 Notes/loans receivable, net</v>
      </c>
      <c r="F18" s="318" t="s">
        <v>588</v>
      </c>
      <c r="I18" s="354" t="s">
        <v>586</v>
      </c>
      <c r="J18" s="354" t="s">
        <v>589</v>
      </c>
      <c r="K18" s="496"/>
      <c r="L18" s="496"/>
      <c r="M18" s="496"/>
      <c r="N18" s="496"/>
      <c r="O18" s="496"/>
      <c r="P18" s="496"/>
      <c r="Q18" s="496"/>
      <c r="R18" s="496"/>
    </row>
    <row r="19" spans="3:18" ht="15.75" x14ac:dyDescent="0.25">
      <c r="C19" s="33">
        <v>126</v>
      </c>
      <c r="D19" s="32" t="s">
        <v>590</v>
      </c>
      <c r="E19" t="str">
        <f t="shared" si="1"/>
        <v>126 Interest Receivable</v>
      </c>
      <c r="F19" s="318" t="s">
        <v>591</v>
      </c>
      <c r="I19" s="354"/>
      <c r="J19" s="354"/>
      <c r="K19" s="496"/>
      <c r="L19" s="496"/>
      <c r="M19" s="496"/>
      <c r="N19" s="496"/>
      <c r="O19" s="496"/>
      <c r="P19" s="496"/>
      <c r="Q19" s="496"/>
      <c r="R19" s="496"/>
    </row>
    <row r="20" spans="3:18" ht="15.75" x14ac:dyDescent="0.25">
      <c r="C20" s="33">
        <v>128</v>
      </c>
      <c r="D20" s="32" t="s">
        <v>592</v>
      </c>
      <c r="E20" t="str">
        <f t="shared" si="1"/>
        <v xml:space="preserve">128 Lease obligation receivable </v>
      </c>
      <c r="F20" s="318" t="s">
        <v>593</v>
      </c>
      <c r="I20" s="354" t="s">
        <v>593</v>
      </c>
      <c r="J20" s="354" t="s">
        <v>594</v>
      </c>
      <c r="K20" s="496"/>
      <c r="L20" s="496"/>
      <c r="M20" s="496"/>
      <c r="N20" s="496"/>
      <c r="O20" s="496"/>
      <c r="P20" s="496"/>
      <c r="Q20" s="496"/>
      <c r="R20" s="496"/>
    </row>
    <row r="21" spans="3:18" ht="15.75" x14ac:dyDescent="0.25">
      <c r="C21" s="33">
        <v>120</v>
      </c>
      <c r="D21" s="32" t="s">
        <v>73</v>
      </c>
      <c r="E21" t="str">
        <f t="shared" si="1"/>
        <v>120 Deferred charges</v>
      </c>
      <c r="F21" s="318" t="s">
        <v>586</v>
      </c>
      <c r="I21" s="354" t="s">
        <v>595</v>
      </c>
      <c r="J21" s="354" t="s">
        <v>596</v>
      </c>
      <c r="K21" s="496"/>
      <c r="L21" s="496"/>
      <c r="M21" s="496"/>
      <c r="N21" s="496"/>
      <c r="O21" s="496"/>
      <c r="P21" s="496"/>
      <c r="Q21" s="496"/>
      <c r="R21" s="496"/>
    </row>
    <row r="22" spans="3:18" ht="15.75" x14ac:dyDescent="0.25">
      <c r="C22" s="33">
        <v>105</v>
      </c>
      <c r="D22" s="32" t="s">
        <v>74</v>
      </c>
      <c r="E22" t="str">
        <f t="shared" si="1"/>
        <v>105 In-kind gifts</v>
      </c>
      <c r="F22" s="318" t="s">
        <v>560</v>
      </c>
      <c r="I22" s="496"/>
      <c r="J22" s="354" t="s">
        <v>597</v>
      </c>
      <c r="K22" s="496"/>
      <c r="L22" s="496"/>
      <c r="M22" s="496"/>
      <c r="N22" s="496"/>
      <c r="O22" s="496"/>
      <c r="P22" s="496"/>
      <c r="Q22" s="496"/>
      <c r="R22" s="496"/>
    </row>
    <row r="23" spans="3:18" ht="15.75" x14ac:dyDescent="0.25">
      <c r="C23" s="33">
        <v>140</v>
      </c>
      <c r="D23" s="32" t="s">
        <v>598</v>
      </c>
      <c r="E23" t="str">
        <f t="shared" si="1"/>
        <v xml:space="preserve">140 NONDEPRECIABLE ASSETS </v>
      </c>
      <c r="F23" s="318" t="s">
        <v>599</v>
      </c>
      <c r="I23" s="496"/>
      <c r="J23" s="354" t="s">
        <v>600</v>
      </c>
      <c r="K23" s="496"/>
      <c r="L23" s="496"/>
      <c r="M23" s="496"/>
      <c r="N23" s="496"/>
      <c r="O23" s="496"/>
      <c r="P23" s="496"/>
      <c r="Q23" s="496"/>
      <c r="R23" s="496"/>
    </row>
    <row r="24" spans="3:18" ht="15.75" x14ac:dyDescent="0.25">
      <c r="C24" s="33">
        <v>145</v>
      </c>
      <c r="D24" s="32" t="s">
        <v>601</v>
      </c>
      <c r="E24" t="str">
        <f t="shared" si="1"/>
        <v xml:space="preserve">145 DEPRECIABLE ASSETS </v>
      </c>
      <c r="F24" s="318" t="s">
        <v>602</v>
      </c>
      <c r="I24" s="496"/>
      <c r="J24" s="496"/>
      <c r="K24" s="496"/>
      <c r="L24" s="496"/>
      <c r="M24" s="496"/>
      <c r="N24" s="496"/>
      <c r="O24" s="496"/>
      <c r="P24" s="496"/>
      <c r="Q24" s="496"/>
      <c r="R24" s="496"/>
    </row>
    <row r="25" spans="3:18" ht="15.75" x14ac:dyDescent="0.25">
      <c r="C25" s="33" t="s">
        <v>603</v>
      </c>
      <c r="D25" t="s">
        <v>604</v>
      </c>
      <c r="E25" t="str">
        <f t="shared" si="1"/>
        <v>140/145 Accumulated depreciation</v>
      </c>
      <c r="F25" s="318" t="s">
        <v>605</v>
      </c>
      <c r="I25" s="496" t="s">
        <v>606</v>
      </c>
      <c r="J25" s="496"/>
      <c r="K25" s="496"/>
      <c r="L25" s="496"/>
      <c r="M25" s="496"/>
      <c r="N25" s="496"/>
      <c r="O25" s="496"/>
      <c r="P25" s="496"/>
      <c r="Q25" s="496"/>
      <c r="R25" s="496"/>
    </row>
    <row r="26" spans="3:18" x14ac:dyDescent="0.2">
      <c r="E26" t="str">
        <f>+C27&amp;" "&amp;D27</f>
        <v xml:space="preserve"> </v>
      </c>
      <c r="I26" s="496" t="s">
        <v>607</v>
      </c>
      <c r="J26" s="496"/>
      <c r="K26" s="496"/>
      <c r="L26" s="496"/>
      <c r="M26" s="496"/>
      <c r="N26" s="496"/>
      <c r="O26" s="496"/>
      <c r="P26" s="496"/>
      <c r="Q26" s="496"/>
      <c r="R26" s="496"/>
    </row>
    <row r="27" spans="3:18" x14ac:dyDescent="0.2">
      <c r="I27" s="496"/>
      <c r="J27" s="496"/>
      <c r="K27" s="496"/>
      <c r="L27" s="496"/>
      <c r="M27" s="496"/>
      <c r="N27" s="496"/>
      <c r="O27" s="496"/>
      <c r="P27" s="496"/>
      <c r="Q27" s="496"/>
      <c r="R27" s="496"/>
    </row>
    <row r="28" spans="3:18" x14ac:dyDescent="0.2">
      <c r="I28" s="496" t="str">
        <f>+G28&amp;" "&amp;H28</f>
        <v xml:space="preserve"> </v>
      </c>
      <c r="J28" s="496"/>
      <c r="K28" s="496"/>
      <c r="L28" s="496"/>
      <c r="M28" s="496"/>
      <c r="N28" s="496"/>
      <c r="O28" s="496"/>
      <c r="P28" s="496"/>
      <c r="Q28" s="496"/>
      <c r="R28" s="496"/>
    </row>
    <row r="29" spans="3:18" x14ac:dyDescent="0.2">
      <c r="C29" s="32"/>
      <c r="D29" s="136" t="s">
        <v>77</v>
      </c>
      <c r="E29" s="151" t="s">
        <v>362</v>
      </c>
      <c r="F29" t="s">
        <v>552</v>
      </c>
      <c r="I29" s="496" t="str">
        <f>+G29&amp;" "&amp;H29</f>
        <v xml:space="preserve"> </v>
      </c>
      <c r="J29" s="496"/>
      <c r="K29" s="496"/>
      <c r="L29" s="496"/>
      <c r="M29" s="496"/>
      <c r="N29" s="496"/>
      <c r="O29" s="496"/>
      <c r="P29" s="496"/>
      <c r="Q29" s="496"/>
      <c r="R29" s="496"/>
    </row>
    <row r="30" spans="3:18" x14ac:dyDescent="0.2">
      <c r="C30" s="33">
        <v>200</v>
      </c>
      <c r="D30" s="32" t="s">
        <v>608</v>
      </c>
      <c r="E30" t="str">
        <f t="shared" ref="E30" si="2">+C30&amp;" "&amp;D30</f>
        <v>200 Accounts payable (Only)</v>
      </c>
      <c r="F30" t="s">
        <v>609</v>
      </c>
      <c r="I30" s="500">
        <v>140</v>
      </c>
      <c r="J30" s="501" t="s">
        <v>165</v>
      </c>
      <c r="K30" s="496"/>
      <c r="L30" s="496"/>
      <c r="M30" s="496"/>
      <c r="N30" s="496"/>
      <c r="O30" s="496"/>
      <c r="P30" s="496"/>
      <c r="Q30" s="496"/>
      <c r="R30" s="496"/>
    </row>
    <row r="31" spans="3:18" x14ac:dyDescent="0.2">
      <c r="C31" s="33">
        <v>202</v>
      </c>
      <c r="D31" s="502" t="s">
        <v>610</v>
      </c>
      <c r="E31" t="s">
        <v>611</v>
      </c>
      <c r="F31" t="s">
        <v>612</v>
      </c>
      <c r="I31" s="496" t="s">
        <v>613</v>
      </c>
      <c r="J31" s="496"/>
      <c r="K31" s="496"/>
      <c r="L31" s="496"/>
      <c r="M31" s="496"/>
      <c r="N31" s="496"/>
      <c r="O31" s="496"/>
      <c r="P31" s="496"/>
      <c r="Q31" s="496"/>
      <c r="R31" s="496"/>
    </row>
    <row r="32" spans="3:18" x14ac:dyDescent="0.2">
      <c r="C32" s="33">
        <v>203</v>
      </c>
      <c r="D32" s="335" t="s">
        <v>614</v>
      </c>
      <c r="E32" t="s">
        <v>615</v>
      </c>
      <c r="F32" t="s">
        <v>616</v>
      </c>
      <c r="I32" s="496" t="s">
        <v>562</v>
      </c>
      <c r="J32" s="496"/>
      <c r="K32" s="496"/>
      <c r="L32" s="496"/>
      <c r="M32" s="496"/>
      <c r="N32" s="496"/>
      <c r="O32" s="496"/>
      <c r="P32" s="496"/>
      <c r="Q32" s="496"/>
      <c r="R32" s="496"/>
    </row>
    <row r="33" spans="3:18" x14ac:dyDescent="0.2">
      <c r="C33" s="33">
        <v>205</v>
      </c>
      <c r="D33" s="32" t="s">
        <v>81</v>
      </c>
      <c r="E33" t="s">
        <v>617</v>
      </c>
      <c r="F33" t="s">
        <v>618</v>
      </c>
      <c r="I33" s="503" t="s">
        <v>619</v>
      </c>
      <c r="J33" s="496"/>
      <c r="K33" s="496"/>
      <c r="L33" s="496"/>
      <c r="M33" s="496"/>
      <c r="N33" s="496"/>
      <c r="O33" s="496"/>
      <c r="P33" s="496"/>
      <c r="Q33" s="496"/>
      <c r="R33" s="496"/>
    </row>
    <row r="34" spans="3:18" x14ac:dyDescent="0.2">
      <c r="C34" s="33">
        <v>210</v>
      </c>
      <c r="D34" s="32" t="s">
        <v>82</v>
      </c>
      <c r="E34" s="337" t="str">
        <f t="shared" ref="E34:E52" si="3">+C31&amp;" "&amp;D31</f>
        <v xml:space="preserve">202 Due to the University </v>
      </c>
      <c r="F34" t="s">
        <v>620</v>
      </c>
      <c r="I34" s="503" t="s">
        <v>612</v>
      </c>
      <c r="J34" s="496"/>
      <c r="K34" s="496"/>
      <c r="L34" s="496"/>
      <c r="M34" s="496"/>
      <c r="N34" s="496"/>
      <c r="O34" s="496"/>
      <c r="P34" s="496"/>
      <c r="Q34" s="496"/>
      <c r="R34" s="496"/>
    </row>
    <row r="35" spans="3:18" x14ac:dyDescent="0.2">
      <c r="C35" s="33">
        <v>215</v>
      </c>
      <c r="D35" s="32" t="s">
        <v>83</v>
      </c>
      <c r="E35" s="336" t="str">
        <f t="shared" si="3"/>
        <v>203 Grants payable to the University</v>
      </c>
      <c r="F35" s="336" t="s">
        <v>621</v>
      </c>
      <c r="I35" s="496" t="s">
        <v>622</v>
      </c>
      <c r="J35" s="496"/>
      <c r="K35" s="496"/>
      <c r="L35" s="496"/>
      <c r="M35" s="496"/>
      <c r="N35" s="496"/>
      <c r="O35" s="496"/>
      <c r="P35" s="496"/>
      <c r="Q35" s="496"/>
      <c r="R35" s="496"/>
    </row>
    <row r="36" spans="3:18" x14ac:dyDescent="0.2">
      <c r="C36" s="33">
        <v>220</v>
      </c>
      <c r="D36" s="32" t="s">
        <v>84</v>
      </c>
      <c r="E36" t="str">
        <f t="shared" si="3"/>
        <v>205 Unearned revenue</v>
      </c>
      <c r="F36" t="s">
        <v>623</v>
      </c>
      <c r="I36" s="496" t="s">
        <v>624</v>
      </c>
      <c r="J36" s="496"/>
      <c r="K36" s="496"/>
      <c r="L36" s="496"/>
      <c r="M36" s="496"/>
      <c r="N36" s="496"/>
      <c r="O36" s="496"/>
      <c r="P36" s="496"/>
      <c r="Q36" s="496"/>
      <c r="R36" s="496"/>
    </row>
    <row r="37" spans="3:18" x14ac:dyDescent="0.2">
      <c r="C37" s="504">
        <v>200</v>
      </c>
      <c r="D37" s="505" t="s">
        <v>85</v>
      </c>
      <c r="E37" t="str">
        <f t="shared" si="3"/>
        <v>210 Interest payable</v>
      </c>
      <c r="F37" t="s">
        <v>618</v>
      </c>
      <c r="I37" s="496" t="s">
        <v>625</v>
      </c>
      <c r="J37" s="496"/>
      <c r="K37" s="496"/>
      <c r="L37" s="496"/>
      <c r="M37" s="496"/>
      <c r="N37" s="496"/>
      <c r="O37" s="496"/>
      <c r="P37" s="496"/>
      <c r="Q37" s="496"/>
      <c r="R37" s="496"/>
    </row>
    <row r="38" spans="3:18" x14ac:dyDescent="0.2">
      <c r="C38" s="506" t="s">
        <v>57</v>
      </c>
      <c r="D38" s="505" t="s">
        <v>626</v>
      </c>
      <c r="E38" s="507" t="str">
        <f t="shared" si="3"/>
        <v>215 Deposits payable</v>
      </c>
      <c r="F38" s="507" t="s">
        <v>627</v>
      </c>
      <c r="I38" s="496" t="s">
        <v>628</v>
      </c>
      <c r="J38" s="496"/>
      <c r="K38" s="496"/>
      <c r="L38" s="496"/>
      <c r="M38" s="496"/>
      <c r="N38" s="496"/>
      <c r="O38" s="496"/>
      <c r="P38" s="496"/>
      <c r="Q38" s="496"/>
      <c r="R38" s="496"/>
    </row>
    <row r="39" spans="3:18" x14ac:dyDescent="0.2">
      <c r="C39" s="506" t="s">
        <v>57</v>
      </c>
      <c r="D39" s="505" t="s">
        <v>629</v>
      </c>
      <c r="E39" t="str">
        <f t="shared" si="3"/>
        <v>220 Funds held for others</v>
      </c>
      <c r="F39" s="151" t="s">
        <v>630</v>
      </c>
      <c r="I39" s="496" t="s">
        <v>631</v>
      </c>
      <c r="J39" s="496"/>
      <c r="K39" s="496"/>
      <c r="L39" s="496"/>
      <c r="M39" s="496"/>
      <c r="N39" s="496"/>
      <c r="O39" s="496"/>
      <c r="P39" s="496"/>
      <c r="Q39" s="496"/>
      <c r="R39" s="496"/>
    </row>
    <row r="40" spans="3:18" x14ac:dyDescent="0.2">
      <c r="C40" s="34" t="s">
        <v>57</v>
      </c>
      <c r="D40" s="32" t="s">
        <v>632</v>
      </c>
      <c r="E40" s="507" t="str">
        <f t="shared" si="3"/>
        <v>200 Interest rate swap fair value liability</v>
      </c>
      <c r="F40" s="507" t="s">
        <v>633</v>
      </c>
      <c r="I40" s="503" t="s">
        <v>634</v>
      </c>
      <c r="J40" s="496"/>
      <c r="K40" s="496"/>
      <c r="L40" s="496"/>
      <c r="M40" s="496"/>
      <c r="N40" s="496"/>
      <c r="O40" s="496"/>
      <c r="P40" s="496"/>
      <c r="Q40" s="496"/>
      <c r="R40" s="496"/>
    </row>
    <row r="41" spans="3:18" x14ac:dyDescent="0.2">
      <c r="C41" s="34" t="s">
        <v>57</v>
      </c>
      <c r="D41" s="32" t="s">
        <v>635</v>
      </c>
      <c r="E41" s="507" t="str">
        <f t="shared" si="3"/>
        <v>** Split interest agreement obligations - Due in 1 year</v>
      </c>
      <c r="F41" s="507" t="s">
        <v>636</v>
      </c>
      <c r="I41" s="496" t="s">
        <v>637</v>
      </c>
      <c r="J41" s="496"/>
      <c r="K41" s="496"/>
      <c r="L41" s="496"/>
      <c r="M41" s="496"/>
      <c r="N41" s="496"/>
      <c r="O41" s="496"/>
      <c r="P41" s="496"/>
      <c r="Q41" s="496"/>
      <c r="R41" s="496"/>
    </row>
    <row r="42" spans="3:18" x14ac:dyDescent="0.2">
      <c r="C42" s="34" t="s">
        <v>57</v>
      </c>
      <c r="D42" s="32" t="s">
        <v>638</v>
      </c>
      <c r="E42" s="507" t="str">
        <f t="shared" si="3"/>
        <v>** Split interest agreement obligations - Noncurrent</v>
      </c>
      <c r="F42" s="507" t="s">
        <v>639</v>
      </c>
      <c r="I42" s="503" t="s">
        <v>640</v>
      </c>
      <c r="J42" s="496"/>
      <c r="K42" s="496"/>
      <c r="L42" s="496"/>
      <c r="M42" s="496"/>
      <c r="N42" s="496"/>
      <c r="O42" s="496"/>
      <c r="P42" s="496"/>
      <c r="Q42" s="496"/>
      <c r="R42" s="496"/>
    </row>
    <row r="43" spans="3:18" x14ac:dyDescent="0.2">
      <c r="C43" s="34" t="s">
        <v>57</v>
      </c>
      <c r="D43" s="32" t="s">
        <v>641</v>
      </c>
      <c r="E43" t="str">
        <f t="shared" si="3"/>
        <v>** Annuities payable - Due in 1 year</v>
      </c>
      <c r="F43" t="s">
        <v>759</v>
      </c>
      <c r="I43" s="503" t="s">
        <v>642</v>
      </c>
      <c r="J43" s="496"/>
      <c r="K43" s="496"/>
      <c r="L43" s="496"/>
      <c r="M43" s="496"/>
      <c r="N43" s="496"/>
      <c r="O43" s="496"/>
      <c r="P43" s="496"/>
      <c r="Q43" s="496"/>
      <c r="R43" s="496"/>
    </row>
    <row r="44" spans="3:18" x14ac:dyDescent="0.2">
      <c r="C44" s="34" t="s">
        <v>57</v>
      </c>
      <c r="D44" s="32" t="s">
        <v>643</v>
      </c>
      <c r="E44" t="str">
        <f t="shared" si="3"/>
        <v>** Annuities payable - Noncurrent</v>
      </c>
      <c r="F44" t="s">
        <v>644</v>
      </c>
      <c r="I44" s="496" t="s">
        <v>645</v>
      </c>
      <c r="J44" s="496"/>
      <c r="K44" s="496"/>
      <c r="L44" s="496"/>
      <c r="M44" s="496"/>
      <c r="N44" s="496"/>
      <c r="O44" s="496"/>
      <c r="P44" s="496"/>
      <c r="Q44" s="496"/>
      <c r="R44" s="496"/>
    </row>
    <row r="45" spans="3:18" x14ac:dyDescent="0.2">
      <c r="C45" s="34" t="s">
        <v>57</v>
      </c>
      <c r="D45" s="32" t="s">
        <v>646</v>
      </c>
      <c r="E45" t="str">
        <f t="shared" si="3"/>
        <v>** Capital leases payable - Due in 1 year</v>
      </c>
      <c r="F45" t="s">
        <v>760</v>
      </c>
      <c r="I45" s="503" t="s">
        <v>618</v>
      </c>
      <c r="J45" s="496"/>
      <c r="K45" s="496"/>
      <c r="L45" s="496"/>
      <c r="M45" s="496"/>
      <c r="N45" s="496"/>
      <c r="O45" s="496"/>
      <c r="P45" s="496"/>
      <c r="Q45" s="496"/>
      <c r="R45" s="496"/>
    </row>
    <row r="46" spans="3:18" x14ac:dyDescent="0.2">
      <c r="C46" s="34" t="s">
        <v>57</v>
      </c>
      <c r="D46" s="32" t="s">
        <v>647</v>
      </c>
      <c r="E46" t="str">
        <f t="shared" si="3"/>
        <v>** Capital leases payable - Noncurrent</v>
      </c>
      <c r="F46" t="s">
        <v>761</v>
      </c>
      <c r="I46" s="503" t="s">
        <v>630</v>
      </c>
      <c r="J46" s="496"/>
      <c r="K46" s="496"/>
      <c r="L46" s="496"/>
      <c r="M46" s="496"/>
      <c r="N46" s="496"/>
      <c r="O46" s="496"/>
      <c r="P46" s="496"/>
      <c r="Q46" s="496"/>
      <c r="R46" s="496"/>
    </row>
    <row r="47" spans="3:18" x14ac:dyDescent="0.2">
      <c r="C47" s="34" t="s">
        <v>57</v>
      </c>
      <c r="D47" s="32" t="s">
        <v>648</v>
      </c>
      <c r="E47" t="str">
        <f t="shared" si="3"/>
        <v>** SBITA liability - Due in 1 year</v>
      </c>
      <c r="F47" t="s">
        <v>649</v>
      </c>
      <c r="I47" s="496" t="s">
        <v>650</v>
      </c>
      <c r="J47" s="496"/>
      <c r="K47" s="496"/>
      <c r="L47" s="496"/>
      <c r="M47" s="496"/>
      <c r="N47" s="496"/>
      <c r="O47" s="496"/>
      <c r="P47" s="496"/>
      <c r="Q47" s="496"/>
      <c r="R47" s="496"/>
    </row>
    <row r="48" spans="3:18" x14ac:dyDescent="0.2">
      <c r="C48" s="34" t="s">
        <v>57</v>
      </c>
      <c r="D48" s="32" t="s">
        <v>651</v>
      </c>
      <c r="E48" t="str">
        <f t="shared" si="3"/>
        <v>** SBITA liability - Noncurrent</v>
      </c>
      <c r="F48" t="s">
        <v>652</v>
      </c>
      <c r="I48" s="503" t="s">
        <v>616</v>
      </c>
      <c r="J48" s="496"/>
      <c r="K48" s="496"/>
      <c r="L48" s="496"/>
      <c r="M48" s="496"/>
      <c r="N48" s="496"/>
      <c r="O48" s="496"/>
      <c r="P48" s="496"/>
      <c r="Q48" s="496"/>
      <c r="R48" s="496"/>
    </row>
    <row r="49" spans="3:18" x14ac:dyDescent="0.2">
      <c r="C49" s="34" t="s">
        <v>57</v>
      </c>
      <c r="D49" s="32" t="s">
        <v>653</v>
      </c>
      <c r="E49" t="str">
        <f t="shared" si="3"/>
        <v>** Notes payable - Due in 1 year</v>
      </c>
      <c r="F49" t="s">
        <v>654</v>
      </c>
      <c r="I49" s="503" t="s">
        <v>623</v>
      </c>
      <c r="J49" s="496"/>
      <c r="K49" s="496"/>
      <c r="L49" s="496"/>
      <c r="M49" s="496"/>
      <c r="N49" s="496"/>
      <c r="O49" s="496"/>
      <c r="P49" s="496"/>
      <c r="Q49" s="496"/>
      <c r="R49" s="496"/>
    </row>
    <row r="50" spans="3:18" x14ac:dyDescent="0.2">
      <c r="C50" s="514" t="s">
        <v>57</v>
      </c>
      <c r="D50" s="515" t="s">
        <v>779</v>
      </c>
      <c r="E50" t="str">
        <f t="shared" si="3"/>
        <v>** Notes payable - Noncurrent</v>
      </c>
      <c r="F50" t="s">
        <v>655</v>
      </c>
      <c r="I50" s="496"/>
      <c r="J50" s="496"/>
      <c r="K50" s="496"/>
      <c r="L50" s="496"/>
      <c r="M50" s="496"/>
      <c r="N50" s="496"/>
      <c r="O50" s="496"/>
      <c r="P50" s="496"/>
      <c r="Q50" s="496"/>
      <c r="R50" s="496"/>
    </row>
    <row r="51" spans="3:18" x14ac:dyDescent="0.2">
      <c r="C51" s="514" t="s">
        <v>57</v>
      </c>
      <c r="D51" s="515" t="s">
        <v>780</v>
      </c>
      <c r="E51" t="str">
        <f t="shared" si="3"/>
        <v>** Bonds payable - Due in 1 year</v>
      </c>
      <c r="F51" t="s">
        <v>645</v>
      </c>
      <c r="I51" s="496" t="s">
        <v>656</v>
      </c>
      <c r="J51" s="496"/>
      <c r="K51" s="496"/>
      <c r="L51" s="496"/>
      <c r="M51" s="496"/>
      <c r="N51" s="496"/>
      <c r="O51" s="496"/>
      <c r="P51" s="496"/>
      <c r="Q51" s="496"/>
      <c r="R51" s="496"/>
    </row>
    <row r="52" spans="3:18" x14ac:dyDescent="0.2">
      <c r="C52" s="32"/>
      <c r="D52" s="238" t="s">
        <v>92</v>
      </c>
      <c r="E52" t="str">
        <f t="shared" si="3"/>
        <v>** Bonds payable - Noncurrent</v>
      </c>
      <c r="F52" t="s">
        <v>667</v>
      </c>
      <c r="I52" s="496" t="s">
        <v>562</v>
      </c>
      <c r="J52" s="496"/>
      <c r="K52" s="496"/>
      <c r="L52" s="496"/>
      <c r="M52" s="496"/>
      <c r="N52" s="496"/>
      <c r="O52" s="496"/>
      <c r="P52" s="496"/>
      <c r="Q52" s="496"/>
      <c r="R52" s="496"/>
    </row>
    <row r="53" spans="3:18" x14ac:dyDescent="0.2">
      <c r="C53" s="32"/>
      <c r="D53" s="136" t="s">
        <v>93</v>
      </c>
      <c r="E53" s="508" t="s">
        <v>779</v>
      </c>
      <c r="F53" s="508" t="s">
        <v>786</v>
      </c>
      <c r="G53" s="149" t="s">
        <v>783</v>
      </c>
      <c r="I53" s="496" t="s">
        <v>657</v>
      </c>
      <c r="J53" s="496"/>
      <c r="K53" s="496"/>
      <c r="L53" s="496"/>
      <c r="M53" s="496"/>
      <c r="N53" s="496"/>
      <c r="O53" s="496"/>
      <c r="P53" s="496"/>
      <c r="Q53" s="496"/>
      <c r="R53" s="496"/>
    </row>
    <row r="54" spans="3:18" x14ac:dyDescent="0.2">
      <c r="C54" s="32"/>
      <c r="D54" s="32" t="s">
        <v>94</v>
      </c>
      <c r="E54" s="508" t="s">
        <v>780</v>
      </c>
      <c r="F54" s="508" t="s">
        <v>787</v>
      </c>
      <c r="G54" s="149" t="s">
        <v>783</v>
      </c>
      <c r="I54" s="496" t="s">
        <v>658</v>
      </c>
      <c r="J54" s="496"/>
      <c r="K54" s="496"/>
      <c r="L54" s="496"/>
      <c r="M54" s="496"/>
      <c r="N54" s="496"/>
      <c r="O54" s="496"/>
      <c r="P54" s="496"/>
      <c r="Q54" s="496"/>
      <c r="R54" s="496"/>
    </row>
    <row r="55" spans="3:18" x14ac:dyDescent="0.2">
      <c r="D55" s="32" t="s">
        <v>95</v>
      </c>
      <c r="I55" s="496" t="s">
        <v>659</v>
      </c>
      <c r="J55" s="496"/>
      <c r="K55" s="496"/>
      <c r="L55" s="496"/>
      <c r="M55" s="496"/>
      <c r="N55" s="496"/>
      <c r="O55" s="496"/>
      <c r="P55" s="496"/>
      <c r="Q55" s="496"/>
      <c r="R55" s="496"/>
    </row>
    <row r="56" spans="3:18" x14ac:dyDescent="0.2">
      <c r="D56" s="238" t="s">
        <v>96</v>
      </c>
      <c r="I56" s="496" t="s">
        <v>660</v>
      </c>
      <c r="J56" s="496"/>
      <c r="K56" s="496"/>
      <c r="L56" s="496"/>
      <c r="M56" s="496"/>
      <c r="N56" s="496"/>
      <c r="O56" s="496"/>
      <c r="P56" s="496"/>
      <c r="Q56" s="496"/>
      <c r="R56" s="496"/>
    </row>
    <row r="57" spans="3:18" x14ac:dyDescent="0.2">
      <c r="I57" s="496"/>
      <c r="J57" s="496"/>
      <c r="K57" s="496"/>
      <c r="L57" s="496"/>
      <c r="M57" s="496"/>
      <c r="N57" s="496"/>
      <c r="O57" s="496"/>
      <c r="P57" s="496"/>
      <c r="Q57" s="496"/>
      <c r="R57" s="496"/>
    </row>
    <row r="58" spans="3:18" x14ac:dyDescent="0.2">
      <c r="C58" s="32"/>
      <c r="D58" s="238"/>
      <c r="E58" s="151"/>
      <c r="I58" s="496"/>
      <c r="J58" s="496"/>
      <c r="K58" s="496"/>
      <c r="L58" s="496"/>
      <c r="M58" s="496"/>
      <c r="N58" s="496"/>
      <c r="O58" s="496"/>
      <c r="P58" s="496"/>
      <c r="Q58" s="496"/>
      <c r="R58" s="496"/>
    </row>
    <row r="59" spans="3:18" ht="14.25" x14ac:dyDescent="0.2">
      <c r="D59" s="1" t="s">
        <v>124</v>
      </c>
      <c r="E59" s="151" t="s">
        <v>362</v>
      </c>
      <c r="F59" t="s">
        <v>552</v>
      </c>
      <c r="I59" s="503" t="s">
        <v>661</v>
      </c>
      <c r="J59" s="496"/>
      <c r="K59" s="496"/>
      <c r="L59" s="496"/>
      <c r="M59" s="496"/>
      <c r="N59" s="496"/>
      <c r="O59" s="496"/>
      <c r="P59" s="496"/>
      <c r="Q59" s="496"/>
      <c r="R59" s="496"/>
    </row>
    <row r="60" spans="3:18" x14ac:dyDescent="0.2">
      <c r="C60">
        <v>505</v>
      </c>
      <c r="D60" t="s">
        <v>311</v>
      </c>
      <c r="E60" s="336" t="str">
        <f t="shared" ref="E60:E68" si="4">+C60&amp;" "&amp;D60</f>
        <v>505 Noncapital grants</v>
      </c>
      <c r="F60" s="336" t="s">
        <v>662</v>
      </c>
      <c r="I60" s="503" t="s">
        <v>663</v>
      </c>
      <c r="J60" s="496"/>
      <c r="K60" s="496"/>
      <c r="L60" s="496"/>
      <c r="M60" s="496"/>
      <c r="N60" s="496"/>
      <c r="O60" s="496"/>
      <c r="P60" s="496"/>
      <c r="Q60" s="496"/>
      <c r="R60" s="496"/>
    </row>
    <row r="61" spans="3:18" x14ac:dyDescent="0.2">
      <c r="C61">
        <v>500</v>
      </c>
      <c r="D61" t="s">
        <v>172</v>
      </c>
      <c r="E61" s="336" t="str">
        <f t="shared" si="4"/>
        <v>500 Noncapital gifts</v>
      </c>
      <c r="F61" s="336" t="s">
        <v>664</v>
      </c>
      <c r="I61" s="503" t="s">
        <v>665</v>
      </c>
      <c r="J61" s="496"/>
      <c r="K61" s="496"/>
      <c r="L61" s="496">
        <v>505</v>
      </c>
      <c r="M61" s="496" t="s">
        <v>311</v>
      </c>
      <c r="N61" s="496"/>
      <c r="O61" s="496"/>
      <c r="P61" s="496"/>
      <c r="Q61" s="496"/>
      <c r="R61" s="496"/>
    </row>
    <row r="62" spans="3:18" x14ac:dyDescent="0.2">
      <c r="C62">
        <v>510</v>
      </c>
      <c r="D62" t="s">
        <v>173</v>
      </c>
      <c r="E62" t="str">
        <f t="shared" si="4"/>
        <v>510 Capital gifts</v>
      </c>
      <c r="F62" t="s">
        <v>666</v>
      </c>
      <c r="I62" s="503" t="s">
        <v>667</v>
      </c>
      <c r="J62" s="496"/>
      <c r="K62" s="496"/>
      <c r="L62" s="496">
        <v>500</v>
      </c>
      <c r="M62" s="496" t="s">
        <v>172</v>
      </c>
      <c r="N62" s="496"/>
      <c r="O62" s="496"/>
      <c r="P62" s="496"/>
      <c r="Q62" s="496"/>
      <c r="R62" s="496"/>
    </row>
    <row r="63" spans="3:18" x14ac:dyDescent="0.2">
      <c r="C63">
        <v>520</v>
      </c>
      <c r="D63" t="s">
        <v>174</v>
      </c>
      <c r="E63" t="str">
        <f t="shared" si="4"/>
        <v>520 Additions to endowments</v>
      </c>
      <c r="F63" t="s">
        <v>668</v>
      </c>
      <c r="I63" s="496" t="s">
        <v>669</v>
      </c>
      <c r="J63" s="496"/>
      <c r="K63" s="496"/>
      <c r="L63" s="496">
        <v>510</v>
      </c>
      <c r="M63" s="496" t="s">
        <v>173</v>
      </c>
      <c r="N63" s="496"/>
      <c r="O63" s="496"/>
      <c r="P63" s="496"/>
      <c r="Q63" s="496"/>
      <c r="R63" s="496"/>
    </row>
    <row r="64" spans="3:18" x14ac:dyDescent="0.2">
      <c r="C64">
        <v>530</v>
      </c>
      <c r="D64" t="s">
        <v>129</v>
      </c>
      <c r="E64" t="str">
        <f t="shared" si="4"/>
        <v>530 Investment income</v>
      </c>
      <c r="F64" t="s">
        <v>670</v>
      </c>
      <c r="I64" s="496" t="s">
        <v>671</v>
      </c>
      <c r="J64" s="496"/>
      <c r="K64" s="496"/>
      <c r="L64" s="496">
        <v>520</v>
      </c>
      <c r="M64" s="496" t="s">
        <v>174</v>
      </c>
      <c r="N64" s="496"/>
      <c r="O64" s="496"/>
      <c r="P64" s="496"/>
      <c r="Q64" s="496"/>
      <c r="R64" s="496"/>
    </row>
    <row r="65" spans="3:18" x14ac:dyDescent="0.2">
      <c r="C65">
        <v>540</v>
      </c>
      <c r="D65" t="s">
        <v>131</v>
      </c>
      <c r="E65" t="str">
        <f t="shared" si="4"/>
        <v>540 Sales and services</v>
      </c>
      <c r="F65" t="s">
        <v>672</v>
      </c>
      <c r="I65" s="496" t="s">
        <v>673</v>
      </c>
      <c r="J65" s="496"/>
      <c r="K65" s="496"/>
      <c r="L65" s="496">
        <v>530</v>
      </c>
      <c r="M65" s="496" t="s">
        <v>129</v>
      </c>
      <c r="N65" s="496"/>
      <c r="O65" s="496"/>
      <c r="P65" s="496"/>
      <c r="Q65" s="496"/>
      <c r="R65" s="496"/>
    </row>
    <row r="66" spans="3:18" x14ac:dyDescent="0.2">
      <c r="C66">
        <v>550</v>
      </c>
      <c r="D66" t="s">
        <v>313</v>
      </c>
      <c r="E66" t="str">
        <f t="shared" si="4"/>
        <v>550 Rental and lease earnings</v>
      </c>
      <c r="F66" t="s">
        <v>672</v>
      </c>
      <c r="I66" s="496" t="s">
        <v>674</v>
      </c>
      <c r="J66" s="496"/>
      <c r="K66" s="496"/>
      <c r="L66" s="496">
        <v>540</v>
      </c>
      <c r="M66" s="496" t="s">
        <v>131</v>
      </c>
      <c r="N66" s="496"/>
      <c r="O66" s="496"/>
      <c r="P66" s="496"/>
      <c r="Q66" s="496"/>
      <c r="R66" s="496"/>
    </row>
    <row r="67" spans="3:18" x14ac:dyDescent="0.2">
      <c r="C67">
        <v>555</v>
      </c>
      <c r="D67" t="s">
        <v>133</v>
      </c>
      <c r="E67" s="336" t="str">
        <f t="shared" si="4"/>
        <v>555 Gain on sale of capital assets</v>
      </c>
      <c r="F67" s="336" t="s">
        <v>675</v>
      </c>
      <c r="I67" s="496" t="s">
        <v>676</v>
      </c>
      <c r="J67" s="496"/>
      <c r="K67" s="496"/>
      <c r="L67" s="496">
        <v>550</v>
      </c>
      <c r="M67" s="496" t="s">
        <v>313</v>
      </c>
      <c r="N67" s="496"/>
      <c r="O67" s="496"/>
      <c r="P67" s="496"/>
      <c r="Q67" s="496"/>
      <c r="R67" s="496"/>
    </row>
    <row r="68" spans="3:18" x14ac:dyDescent="0.2">
      <c r="C68">
        <v>560</v>
      </c>
      <c r="D68" t="s">
        <v>314</v>
      </c>
      <c r="E68" t="str">
        <f t="shared" si="4"/>
        <v>560 Miscellaneous</v>
      </c>
      <c r="F68" t="s">
        <v>677</v>
      </c>
      <c r="I68" s="496"/>
      <c r="J68" s="496"/>
      <c r="K68" s="496"/>
      <c r="L68" s="496">
        <v>555</v>
      </c>
      <c r="M68" s="496" t="s">
        <v>133</v>
      </c>
      <c r="N68" s="496"/>
      <c r="O68" s="496"/>
      <c r="P68" s="496"/>
      <c r="Q68" s="496"/>
      <c r="R68" s="496"/>
    </row>
    <row r="69" spans="3:18" x14ac:dyDescent="0.2">
      <c r="C69" s="509"/>
      <c r="D69" s="141"/>
      <c r="E69" s="141"/>
      <c r="I69" s="496" t="s">
        <v>678</v>
      </c>
      <c r="J69" s="496"/>
      <c r="K69" s="496"/>
      <c r="L69" s="496">
        <v>560</v>
      </c>
      <c r="M69" s="496" t="s">
        <v>314</v>
      </c>
      <c r="N69" s="496"/>
      <c r="O69" s="496"/>
      <c r="P69" s="496"/>
      <c r="Q69" s="496"/>
      <c r="R69" s="496"/>
    </row>
    <row r="70" spans="3:18" x14ac:dyDescent="0.2">
      <c r="C70" s="509"/>
      <c r="D70" s="141"/>
      <c r="E70" s="151" t="s">
        <v>679</v>
      </c>
      <c r="F70" t="s">
        <v>374</v>
      </c>
      <c r="I70" s="496" t="s">
        <v>562</v>
      </c>
      <c r="J70" s="496"/>
      <c r="K70" s="496"/>
      <c r="L70" s="496"/>
      <c r="M70" s="496"/>
      <c r="N70" s="496"/>
      <c r="O70" s="496"/>
      <c r="P70" s="496"/>
      <c r="Q70" s="496"/>
      <c r="R70" s="496"/>
    </row>
    <row r="71" spans="3:18" x14ac:dyDescent="0.2">
      <c r="C71" s="509"/>
      <c r="D71" s="141"/>
      <c r="E71" s="141"/>
      <c r="I71" s="496" t="s">
        <v>680</v>
      </c>
      <c r="J71" s="496"/>
      <c r="K71" s="496"/>
      <c r="L71" s="496"/>
      <c r="M71" s="496"/>
      <c r="N71" s="496"/>
      <c r="O71" s="496"/>
      <c r="P71" s="496"/>
      <c r="Q71" s="496"/>
      <c r="R71" s="496"/>
    </row>
    <row r="72" spans="3:18" x14ac:dyDescent="0.2">
      <c r="I72" s="496" t="s">
        <v>681</v>
      </c>
      <c r="J72" s="496"/>
      <c r="K72" s="496"/>
      <c r="L72" s="496"/>
      <c r="M72" s="496"/>
      <c r="N72" s="496"/>
      <c r="O72" s="496"/>
      <c r="P72" s="496"/>
      <c r="Q72" s="496"/>
      <c r="R72" s="496"/>
    </row>
    <row r="73" spans="3:18" x14ac:dyDescent="0.2">
      <c r="I73" s="496" t="s">
        <v>682</v>
      </c>
      <c r="J73" s="496"/>
      <c r="K73" s="496"/>
      <c r="L73" s="496"/>
      <c r="M73" s="496"/>
      <c r="N73" s="496"/>
      <c r="O73" s="496"/>
      <c r="P73" s="496"/>
      <c r="Q73" s="496"/>
      <c r="R73" s="496"/>
    </row>
    <row r="74" spans="3:18" ht="14.25" x14ac:dyDescent="0.2">
      <c r="C74" s="33"/>
      <c r="D74" s="1" t="s">
        <v>177</v>
      </c>
      <c r="E74" s="151" t="s">
        <v>362</v>
      </c>
      <c r="F74" t="s">
        <v>552</v>
      </c>
      <c r="I74" s="496" t="s">
        <v>683</v>
      </c>
      <c r="J74" s="496"/>
      <c r="K74" s="496"/>
      <c r="L74" s="496"/>
      <c r="M74" s="496"/>
      <c r="N74" s="496"/>
      <c r="O74" s="496"/>
      <c r="P74" s="496"/>
      <c r="Q74" s="496"/>
      <c r="R74" s="496"/>
    </row>
    <row r="75" spans="3:18" x14ac:dyDescent="0.2">
      <c r="C75" s="33">
        <v>604</v>
      </c>
      <c r="D75" s="3" t="s">
        <v>684</v>
      </c>
      <c r="E75" s="337" t="str">
        <f>+C75&amp;" "&amp;D75</f>
        <v xml:space="preserve">604 Payments to University (accrual) - student tuition/fees </v>
      </c>
      <c r="F75" s="337" t="s">
        <v>685</v>
      </c>
      <c r="I75" s="496" t="s">
        <v>686</v>
      </c>
      <c r="J75" s="496"/>
      <c r="K75" s="496"/>
      <c r="L75" s="496"/>
      <c r="M75" s="496"/>
      <c r="N75" s="496"/>
      <c r="O75" s="496"/>
      <c r="P75" s="496"/>
      <c r="Q75" s="496"/>
      <c r="R75" s="496"/>
    </row>
    <row r="76" spans="3:18" x14ac:dyDescent="0.2">
      <c r="C76" s="33">
        <v>600</v>
      </c>
      <c r="D76" s="3" t="s">
        <v>687</v>
      </c>
      <c r="E76" s="337" t="str">
        <f>+C76&amp;" "&amp;D76</f>
        <v xml:space="preserve">600 Payments to University (accrual) - noncapital </v>
      </c>
      <c r="F76" s="337" t="s">
        <v>685</v>
      </c>
      <c r="I76" s="496"/>
      <c r="J76" s="496"/>
      <c r="K76" s="496"/>
      <c r="L76" s="496"/>
      <c r="M76" s="496"/>
      <c r="N76" s="496"/>
      <c r="O76" s="496"/>
      <c r="P76" s="496"/>
      <c r="Q76" s="496"/>
      <c r="R76" s="496"/>
    </row>
    <row r="77" spans="3:18" x14ac:dyDescent="0.2">
      <c r="C77" s="33">
        <v>602</v>
      </c>
      <c r="D77" s="3" t="s">
        <v>688</v>
      </c>
      <c r="E77" s="337" t="str">
        <f>+C77&amp;" "&amp;D77</f>
        <v>602 Payments to University (accrual) - capital</v>
      </c>
      <c r="F77" s="337" t="s">
        <v>685</v>
      </c>
      <c r="I77" s="496"/>
      <c r="J77" s="496"/>
      <c r="K77" s="496"/>
      <c r="L77" s="496"/>
      <c r="M77" s="496"/>
      <c r="N77" s="496"/>
      <c r="O77" s="496"/>
      <c r="P77" s="496"/>
      <c r="Q77" s="496"/>
      <c r="R77" s="496"/>
    </row>
    <row r="78" spans="3:18" x14ac:dyDescent="0.2">
      <c r="C78">
        <v>610</v>
      </c>
      <c r="D78" s="151" t="s">
        <v>322</v>
      </c>
      <c r="E78" t="str">
        <f>+C78&amp;" "&amp;D78</f>
        <v>610 Other expenses</v>
      </c>
      <c r="F78" t="s">
        <v>689</v>
      </c>
      <c r="I78" s="496" t="s">
        <v>690</v>
      </c>
      <c r="J78" s="496"/>
      <c r="K78" s="496"/>
      <c r="L78" s="496"/>
      <c r="M78" s="496"/>
      <c r="N78" s="496"/>
      <c r="O78" s="496"/>
      <c r="P78" s="496"/>
      <c r="Q78" s="496"/>
      <c r="R78" s="496"/>
    </row>
    <row r="79" spans="3:18" x14ac:dyDescent="0.2">
      <c r="I79" s="496" t="s">
        <v>562</v>
      </c>
      <c r="J79" s="496"/>
      <c r="K79" s="496"/>
      <c r="L79" s="496"/>
      <c r="M79" s="496"/>
      <c r="N79" s="496"/>
      <c r="O79" s="496"/>
      <c r="P79" s="496"/>
      <c r="Q79" s="496"/>
      <c r="R79" s="496"/>
    </row>
    <row r="80" spans="3:18" x14ac:dyDescent="0.2">
      <c r="D80" s="510" t="s">
        <v>691</v>
      </c>
      <c r="I80" s="496" t="s">
        <v>692</v>
      </c>
      <c r="J80" s="496"/>
      <c r="K80" s="496"/>
      <c r="L80" s="496"/>
      <c r="M80" s="496">
        <v>505</v>
      </c>
      <c r="N80" s="496" t="s">
        <v>311</v>
      </c>
      <c r="O80" s="496"/>
      <c r="P80" s="496"/>
      <c r="Q80" s="496"/>
      <c r="R80" s="496"/>
    </row>
    <row r="81" spans="4:18" ht="15.75" x14ac:dyDescent="0.25">
      <c r="D81" s="318" t="s">
        <v>353</v>
      </c>
      <c r="I81" s="496" t="s">
        <v>693</v>
      </c>
      <c r="J81" s="496"/>
      <c r="K81" s="496"/>
      <c r="L81" s="496"/>
      <c r="M81" s="496">
        <v>500</v>
      </c>
      <c r="N81" s="496" t="s">
        <v>172</v>
      </c>
      <c r="O81" s="496"/>
      <c r="P81" s="496"/>
      <c r="Q81" s="496"/>
      <c r="R81" s="496"/>
    </row>
    <row r="82" spans="4:18" x14ac:dyDescent="0.2">
      <c r="D82" s="151" t="s">
        <v>694</v>
      </c>
      <c r="I82" s="496" t="s">
        <v>695</v>
      </c>
      <c r="J82" s="496"/>
      <c r="K82" s="496"/>
      <c r="L82" s="496"/>
      <c r="M82" s="496">
        <v>510</v>
      </c>
      <c r="N82" s="496" t="s">
        <v>173</v>
      </c>
      <c r="O82" s="496"/>
      <c r="P82" s="496"/>
      <c r="Q82" s="496"/>
      <c r="R82" s="496"/>
    </row>
    <row r="83" spans="4:18" x14ac:dyDescent="0.2">
      <c r="D83" s="151" t="s">
        <v>696</v>
      </c>
      <c r="I83" s="496" t="s">
        <v>697</v>
      </c>
      <c r="J83" s="496"/>
      <c r="K83" s="496"/>
      <c r="L83" s="496"/>
      <c r="M83" s="496">
        <v>520</v>
      </c>
      <c r="N83" s="496" t="s">
        <v>174</v>
      </c>
      <c r="O83" s="496"/>
      <c r="P83" s="496"/>
      <c r="Q83" s="496"/>
      <c r="R83" s="496"/>
    </row>
    <row r="84" spans="4:18" x14ac:dyDescent="0.2">
      <c r="D84" s="151"/>
      <c r="I84" s="496" t="s">
        <v>698</v>
      </c>
      <c r="J84" s="496"/>
      <c r="K84" s="496"/>
      <c r="L84" s="496"/>
      <c r="M84" s="496">
        <v>530</v>
      </c>
      <c r="N84" s="496" t="s">
        <v>129</v>
      </c>
      <c r="O84" s="496"/>
      <c r="P84" s="496"/>
      <c r="Q84" s="496"/>
      <c r="R84" s="496"/>
    </row>
    <row r="85" spans="4:18" ht="15.75" x14ac:dyDescent="0.25">
      <c r="D85" s="317" t="s">
        <v>763</v>
      </c>
      <c r="I85" s="496" t="s">
        <v>699</v>
      </c>
      <c r="J85" s="496"/>
      <c r="K85" s="496"/>
      <c r="L85" s="496"/>
      <c r="M85" s="496">
        <v>540</v>
      </c>
      <c r="N85" s="496" t="s">
        <v>131</v>
      </c>
      <c r="O85" s="496"/>
      <c r="P85" s="496"/>
      <c r="Q85" s="496"/>
      <c r="R85" s="496"/>
    </row>
    <row r="86" spans="4:18" ht="15.75" x14ac:dyDescent="0.25">
      <c r="D86" s="318" t="s">
        <v>354</v>
      </c>
      <c r="I86" s="496"/>
      <c r="J86" s="496"/>
      <c r="K86" s="496"/>
      <c r="L86" s="496"/>
      <c r="M86" s="496">
        <v>550</v>
      </c>
      <c r="N86" s="496" t="s">
        <v>313</v>
      </c>
      <c r="O86" s="496"/>
      <c r="P86" s="496"/>
      <c r="Q86" s="496"/>
      <c r="R86" s="496"/>
    </row>
    <row r="87" spans="4:18" ht="15.75" x14ac:dyDescent="0.25">
      <c r="D87" s="318" t="s">
        <v>762</v>
      </c>
      <c r="I87" s="496"/>
      <c r="J87" s="496"/>
      <c r="K87" s="496"/>
      <c r="L87" s="496"/>
      <c r="M87" s="496"/>
      <c r="N87" s="496"/>
      <c r="O87" s="496"/>
      <c r="P87" s="496"/>
      <c r="Q87" s="496"/>
      <c r="R87" s="496"/>
    </row>
    <row r="88" spans="4:18" ht="15.75" x14ac:dyDescent="0.25">
      <c r="D88" s="318" t="s">
        <v>720</v>
      </c>
      <c r="I88" s="496"/>
      <c r="J88" s="496"/>
      <c r="K88" s="496"/>
      <c r="L88" s="496"/>
      <c r="M88" s="496"/>
      <c r="N88" s="496"/>
      <c r="O88" s="496"/>
      <c r="P88" s="496"/>
      <c r="Q88" s="496"/>
      <c r="R88" s="496"/>
    </row>
    <row r="89" spans="4:18" ht="15.75" x14ac:dyDescent="0.25">
      <c r="D89" s="318" t="s">
        <v>700</v>
      </c>
      <c r="I89" s="496" t="s">
        <v>701</v>
      </c>
      <c r="J89" s="496"/>
      <c r="K89" s="496"/>
      <c r="L89" s="496"/>
      <c r="M89" s="496">
        <v>555</v>
      </c>
      <c r="N89" s="496" t="s">
        <v>133</v>
      </c>
      <c r="O89" s="496"/>
      <c r="P89" s="496"/>
      <c r="Q89" s="496"/>
      <c r="R89" s="496"/>
    </row>
    <row r="90" spans="4:18" ht="15.75" x14ac:dyDescent="0.25">
      <c r="D90" s="318" t="s">
        <v>702</v>
      </c>
      <c r="I90" s="496" t="s">
        <v>703</v>
      </c>
      <c r="J90" s="496"/>
      <c r="K90" s="496"/>
      <c r="L90" s="496"/>
      <c r="M90" s="496">
        <v>560</v>
      </c>
      <c r="N90" s="496" t="s">
        <v>314</v>
      </c>
      <c r="O90" s="496"/>
      <c r="P90" s="496"/>
      <c r="Q90" s="496"/>
      <c r="R90" s="496"/>
    </row>
    <row r="91" spans="4:18" ht="15.75" x14ac:dyDescent="0.25">
      <c r="D91" s="318" t="s">
        <v>704</v>
      </c>
      <c r="I91" s="496" t="s">
        <v>562</v>
      </c>
      <c r="J91" s="496"/>
      <c r="K91" s="496"/>
      <c r="L91" s="496"/>
      <c r="M91" s="496">
        <v>604</v>
      </c>
      <c r="N91" s="496" t="s">
        <v>705</v>
      </c>
      <c r="O91" s="496"/>
      <c r="P91" s="496"/>
      <c r="Q91" s="496"/>
      <c r="R91" s="496"/>
    </row>
    <row r="92" spans="4:18" ht="15.75" x14ac:dyDescent="0.25">
      <c r="D92" s="318" t="s">
        <v>706</v>
      </c>
      <c r="I92" s="496" t="s">
        <v>707</v>
      </c>
      <c r="J92" s="496"/>
      <c r="K92" s="496"/>
      <c r="L92" s="496"/>
      <c r="M92" s="496">
        <v>600</v>
      </c>
      <c r="N92" s="496" t="s">
        <v>708</v>
      </c>
      <c r="O92" s="496"/>
      <c r="P92" s="496"/>
      <c r="Q92" s="496"/>
      <c r="R92" s="496"/>
    </row>
    <row r="93" spans="4:18" ht="15.75" x14ac:dyDescent="0.25">
      <c r="D93" s="318" t="s">
        <v>709</v>
      </c>
      <c r="I93" s="496" t="s">
        <v>710</v>
      </c>
      <c r="J93" s="496"/>
      <c r="K93" s="496"/>
      <c r="L93" s="496"/>
      <c r="M93" s="496">
        <v>602</v>
      </c>
      <c r="N93" s="496" t="s">
        <v>711</v>
      </c>
      <c r="O93" s="496"/>
      <c r="P93" s="496"/>
      <c r="Q93" s="496"/>
      <c r="R93" s="496"/>
    </row>
    <row r="94" spans="4:18" ht="15.75" x14ac:dyDescent="0.25">
      <c r="D94" s="318" t="s">
        <v>712</v>
      </c>
      <c r="I94" s="496" t="s">
        <v>713</v>
      </c>
      <c r="J94" s="496"/>
      <c r="K94" s="496"/>
      <c r="L94" s="496"/>
      <c r="M94" s="496">
        <v>610</v>
      </c>
      <c r="N94" s="496" t="s">
        <v>322</v>
      </c>
      <c r="O94" s="496"/>
      <c r="P94" s="496"/>
      <c r="Q94" s="496"/>
      <c r="R94" s="496"/>
    </row>
    <row r="95" spans="4:18" ht="15.75" x14ac:dyDescent="0.25">
      <c r="D95" s="318" t="s">
        <v>714</v>
      </c>
      <c r="I95" s="496" t="s">
        <v>715</v>
      </c>
      <c r="J95" s="496"/>
      <c r="K95" s="496"/>
      <c r="L95" s="496"/>
      <c r="M95" s="496"/>
      <c r="N95" s="496"/>
      <c r="O95" s="496"/>
      <c r="P95" s="496"/>
      <c r="Q95" s="496"/>
      <c r="R95" s="496"/>
    </row>
    <row r="96" spans="4:18" ht="15.75" x14ac:dyDescent="0.25">
      <c r="D96" s="318" t="s">
        <v>716</v>
      </c>
      <c r="I96" s="496"/>
      <c r="J96" s="496"/>
      <c r="K96" s="496"/>
      <c r="L96" s="496"/>
      <c r="M96" s="496"/>
      <c r="N96" s="496"/>
      <c r="O96" s="496"/>
      <c r="P96" s="496"/>
      <c r="Q96" s="496"/>
      <c r="R96" s="496"/>
    </row>
    <row r="97" spans="3:18" ht="15.75" x14ac:dyDescent="0.25">
      <c r="D97" s="318" t="s">
        <v>717</v>
      </c>
      <c r="I97" s="496" t="s">
        <v>718</v>
      </c>
      <c r="J97" s="496"/>
      <c r="K97" s="496"/>
      <c r="L97" s="496"/>
      <c r="M97" s="496"/>
      <c r="N97" s="496"/>
      <c r="O97" s="496"/>
      <c r="P97" s="496"/>
      <c r="Q97" s="496"/>
      <c r="R97" s="496"/>
    </row>
    <row r="98" spans="3:18" ht="15.75" x14ac:dyDescent="0.25">
      <c r="D98" s="318" t="s">
        <v>719</v>
      </c>
      <c r="I98" s="496" t="s">
        <v>562</v>
      </c>
      <c r="J98" s="496"/>
      <c r="K98" s="496"/>
      <c r="L98" s="496"/>
      <c r="M98" s="496"/>
      <c r="N98" s="496"/>
      <c r="O98" s="496"/>
      <c r="P98" s="496"/>
      <c r="Q98" s="496"/>
      <c r="R98" s="496"/>
    </row>
    <row r="99" spans="3:18" ht="15.75" x14ac:dyDescent="0.25">
      <c r="D99" s="318"/>
      <c r="E99" s="317"/>
      <c r="I99" s="496" t="s">
        <v>721</v>
      </c>
      <c r="J99" s="496"/>
      <c r="K99" s="496"/>
      <c r="L99" s="496"/>
      <c r="M99" s="496"/>
      <c r="N99" s="496"/>
      <c r="O99" s="496"/>
      <c r="P99" s="496"/>
      <c r="Q99" s="496"/>
      <c r="R99" s="496"/>
    </row>
    <row r="100" spans="3:18" x14ac:dyDescent="0.2">
      <c r="I100" s="496" t="s">
        <v>722</v>
      </c>
      <c r="J100" s="496"/>
      <c r="K100" s="496"/>
      <c r="L100" s="496"/>
      <c r="M100" s="496"/>
      <c r="N100" s="496"/>
      <c r="O100" s="496"/>
      <c r="P100" s="496"/>
      <c r="Q100" s="496"/>
      <c r="R100" s="496"/>
    </row>
    <row r="101" spans="3:18" x14ac:dyDescent="0.2">
      <c r="E101" s="141"/>
      <c r="I101" s="496" t="s">
        <v>723</v>
      </c>
      <c r="J101" s="496"/>
      <c r="K101" s="496"/>
      <c r="L101" s="496"/>
      <c r="M101" s="496"/>
      <c r="N101" s="496"/>
      <c r="O101" s="496"/>
      <c r="P101" s="496"/>
      <c r="Q101" s="496"/>
      <c r="R101" s="496"/>
    </row>
    <row r="102" spans="3:18" ht="15.75" x14ac:dyDescent="0.25">
      <c r="D102" s="318" t="s">
        <v>724</v>
      </c>
      <c r="E102" s="141" t="s">
        <v>725</v>
      </c>
      <c r="I102" s="496" t="s">
        <v>726</v>
      </c>
      <c r="J102" s="496"/>
      <c r="K102" s="496"/>
      <c r="L102" s="496"/>
      <c r="M102" s="496"/>
      <c r="N102" s="496"/>
      <c r="O102" s="496"/>
      <c r="P102" s="496"/>
      <c r="Q102" s="496"/>
      <c r="R102" s="496"/>
    </row>
    <row r="103" spans="3:18" ht="15.75" x14ac:dyDescent="0.25">
      <c r="D103" s="318" t="s">
        <v>727</v>
      </c>
      <c r="E103" s="141" t="s">
        <v>725</v>
      </c>
      <c r="I103" s="496"/>
      <c r="J103" s="496"/>
      <c r="K103" s="496"/>
      <c r="L103" s="496"/>
      <c r="M103" s="496"/>
      <c r="N103" s="496"/>
      <c r="O103" s="496"/>
      <c r="P103" s="496"/>
      <c r="Q103" s="496"/>
      <c r="R103" s="496"/>
    </row>
    <row r="104" spans="3:18" x14ac:dyDescent="0.2">
      <c r="I104" s="496" t="s">
        <v>728</v>
      </c>
      <c r="J104" s="496"/>
      <c r="K104" s="496"/>
      <c r="L104" s="496"/>
      <c r="M104" s="496"/>
      <c r="N104" s="496"/>
      <c r="O104" s="496"/>
      <c r="P104" s="496"/>
      <c r="Q104" s="496"/>
      <c r="R104" s="496"/>
    </row>
    <row r="105" spans="3:18" x14ac:dyDescent="0.2">
      <c r="I105" s="496" t="s">
        <v>562</v>
      </c>
      <c r="J105" s="496"/>
      <c r="K105" s="496"/>
      <c r="L105" s="496"/>
      <c r="M105" s="496"/>
      <c r="N105" s="496"/>
      <c r="O105" s="496"/>
      <c r="P105" s="496"/>
      <c r="Q105" s="496"/>
      <c r="R105" s="496"/>
    </row>
    <row r="106" spans="3:18" ht="15.75" x14ac:dyDescent="0.25">
      <c r="D106" s="318" t="s">
        <v>771</v>
      </c>
      <c r="I106" s="496" t="s">
        <v>729</v>
      </c>
      <c r="J106" s="496"/>
      <c r="K106" s="496"/>
      <c r="L106" s="496"/>
      <c r="M106" s="496"/>
      <c r="N106" s="496"/>
      <c r="O106" s="496"/>
      <c r="P106" s="496"/>
      <c r="Q106" s="496"/>
      <c r="R106" s="496"/>
    </row>
    <row r="107" spans="3:18" x14ac:dyDescent="0.2">
      <c r="C107" s="151" t="s">
        <v>463</v>
      </c>
      <c r="D107" s="511">
        <v>10000000</v>
      </c>
      <c r="I107" s="496" t="s">
        <v>730</v>
      </c>
      <c r="J107" s="496"/>
      <c r="K107" s="496"/>
      <c r="L107" s="496"/>
      <c r="M107" s="496"/>
      <c r="N107" s="496"/>
      <c r="O107" s="496"/>
      <c r="P107" s="496"/>
      <c r="Q107" s="496"/>
      <c r="R107" s="496"/>
    </row>
    <row r="108" spans="3:18" x14ac:dyDescent="0.2">
      <c r="C108" s="151" t="s">
        <v>464</v>
      </c>
      <c r="D108" s="511">
        <v>10000000</v>
      </c>
      <c r="I108" s="496" t="s">
        <v>731</v>
      </c>
      <c r="J108" s="496"/>
      <c r="K108" s="496"/>
      <c r="L108" s="496"/>
      <c r="M108" s="496"/>
      <c r="N108" s="496"/>
      <c r="O108" s="496"/>
      <c r="P108" s="496"/>
      <c r="Q108" s="496"/>
      <c r="R108" s="496"/>
    </row>
    <row r="109" spans="3:18" x14ac:dyDescent="0.2">
      <c r="C109" s="151" t="s">
        <v>466</v>
      </c>
      <c r="D109" s="511">
        <v>4000000</v>
      </c>
      <c r="I109" s="496" t="s">
        <v>732</v>
      </c>
      <c r="J109" s="496"/>
      <c r="K109" s="496"/>
      <c r="L109" s="496"/>
      <c r="M109" s="496"/>
      <c r="N109" s="496"/>
      <c r="O109" s="496"/>
      <c r="P109" s="496"/>
      <c r="Q109" s="496"/>
      <c r="R109" s="496"/>
    </row>
    <row r="110" spans="3:18" x14ac:dyDescent="0.2">
      <c r="C110" s="151" t="s">
        <v>467</v>
      </c>
      <c r="D110" s="511">
        <v>2000000</v>
      </c>
      <c r="I110" s="496" t="s">
        <v>733</v>
      </c>
      <c r="J110" s="496"/>
      <c r="K110" s="496"/>
      <c r="L110" s="496"/>
      <c r="M110" s="496"/>
      <c r="N110" s="496"/>
      <c r="O110" s="496"/>
      <c r="P110" s="496"/>
      <c r="Q110" s="496"/>
      <c r="R110" s="496"/>
    </row>
    <row r="111" spans="3:18" x14ac:dyDescent="0.2">
      <c r="C111" s="151" t="s">
        <v>469</v>
      </c>
      <c r="D111" s="511">
        <v>4000000</v>
      </c>
      <c r="I111" s="496" t="s">
        <v>734</v>
      </c>
      <c r="J111" s="496"/>
      <c r="K111" s="496"/>
      <c r="L111" s="496"/>
      <c r="M111" s="496"/>
      <c r="N111" s="496"/>
      <c r="O111" s="496"/>
      <c r="P111" s="496"/>
      <c r="Q111" s="496"/>
      <c r="R111" s="496"/>
    </row>
    <row r="112" spans="3:18" x14ac:dyDescent="0.2">
      <c r="C112" s="151" t="s">
        <v>470</v>
      </c>
      <c r="D112" s="511">
        <v>3000000</v>
      </c>
      <c r="I112" s="496" t="s">
        <v>735</v>
      </c>
      <c r="J112" s="496"/>
      <c r="K112" s="496"/>
      <c r="L112" s="496"/>
      <c r="M112" s="496"/>
      <c r="N112" s="496"/>
      <c r="O112" s="496"/>
      <c r="P112" s="496"/>
      <c r="Q112" s="496"/>
      <c r="R112" s="496"/>
    </row>
    <row r="113" spans="3:18" x14ac:dyDescent="0.2">
      <c r="C113" s="151" t="s">
        <v>474</v>
      </c>
      <c r="D113" s="511">
        <v>2000000</v>
      </c>
      <c r="I113" s="496" t="s">
        <v>677</v>
      </c>
      <c r="J113" s="496"/>
      <c r="K113" s="496"/>
      <c r="L113" s="496"/>
      <c r="M113" s="496"/>
      <c r="N113" s="496"/>
      <c r="O113" s="496"/>
      <c r="P113" s="496"/>
      <c r="Q113" s="496"/>
      <c r="R113" s="496"/>
    </row>
    <row r="114" spans="3:18" x14ac:dyDescent="0.2">
      <c r="C114" s="151" t="s">
        <v>477</v>
      </c>
      <c r="D114" s="511">
        <v>3000000</v>
      </c>
      <c r="I114" s="496"/>
      <c r="J114" s="496"/>
      <c r="K114" s="496"/>
      <c r="L114" s="496"/>
      <c r="M114" s="496"/>
      <c r="N114" s="496"/>
      <c r="O114" s="496"/>
      <c r="P114" s="496"/>
      <c r="Q114" s="496"/>
      <c r="R114" s="496"/>
    </row>
    <row r="115" spans="3:18" x14ac:dyDescent="0.2">
      <c r="C115" s="151" t="s">
        <v>478</v>
      </c>
      <c r="D115" s="511">
        <v>2000000</v>
      </c>
      <c r="I115" s="496" t="s">
        <v>736</v>
      </c>
      <c r="J115" s="496"/>
      <c r="K115" s="496"/>
      <c r="L115" s="496"/>
      <c r="M115" s="496"/>
      <c r="N115" s="496"/>
      <c r="O115" s="496"/>
      <c r="P115" s="496"/>
      <c r="Q115" s="496"/>
      <c r="R115" s="496"/>
    </row>
    <row r="116" spans="3:18" x14ac:dyDescent="0.2">
      <c r="C116" s="151" t="s">
        <v>479</v>
      </c>
      <c r="D116" s="511">
        <v>2000000</v>
      </c>
      <c r="I116" s="496" t="s">
        <v>562</v>
      </c>
      <c r="J116" s="496"/>
      <c r="K116" s="496"/>
      <c r="L116" s="496"/>
      <c r="M116" s="496"/>
      <c r="N116" s="496"/>
      <c r="O116" s="496"/>
      <c r="P116" s="496"/>
      <c r="Q116" s="496"/>
      <c r="R116" s="496"/>
    </row>
    <row r="117" spans="3:18" x14ac:dyDescent="0.2">
      <c r="I117" s="496" t="s">
        <v>737</v>
      </c>
      <c r="J117" s="496"/>
      <c r="K117" s="496"/>
      <c r="L117" s="496"/>
      <c r="M117" s="496"/>
      <c r="N117" s="496"/>
      <c r="O117" s="496"/>
      <c r="P117" s="496"/>
      <c r="Q117" s="496"/>
      <c r="R117" s="496"/>
    </row>
    <row r="118" spans="3:18" x14ac:dyDescent="0.2">
      <c r="I118" s="496" t="s">
        <v>738</v>
      </c>
      <c r="J118" s="496"/>
      <c r="K118" s="496"/>
      <c r="L118" s="496"/>
      <c r="M118" s="496"/>
      <c r="N118" s="496"/>
      <c r="O118" s="496"/>
      <c r="P118" s="496"/>
      <c r="Q118" s="496"/>
      <c r="R118" s="496"/>
    </row>
    <row r="119" spans="3:18" x14ac:dyDescent="0.2">
      <c r="I119" s="496" t="s">
        <v>739</v>
      </c>
      <c r="J119" s="496"/>
      <c r="K119" s="496"/>
      <c r="L119" s="496"/>
      <c r="M119" s="496"/>
      <c r="N119" s="496"/>
      <c r="O119" s="496"/>
      <c r="P119" s="496"/>
      <c r="Q119" s="496"/>
      <c r="R119" s="496"/>
    </row>
    <row r="120" spans="3:18" x14ac:dyDescent="0.2">
      <c r="I120" s="496" t="s">
        <v>740</v>
      </c>
      <c r="J120" s="496"/>
      <c r="K120" s="496"/>
      <c r="L120" s="496"/>
      <c r="M120" s="496"/>
      <c r="N120" s="496"/>
      <c r="O120" s="496"/>
      <c r="P120" s="496"/>
      <c r="Q120" s="496"/>
      <c r="R120" s="496"/>
    </row>
    <row r="121" spans="3:18" x14ac:dyDescent="0.2">
      <c r="I121" s="496" t="s">
        <v>741</v>
      </c>
      <c r="J121" s="496"/>
      <c r="K121" s="496"/>
      <c r="L121" s="496"/>
      <c r="M121" s="496"/>
      <c r="N121" s="496"/>
      <c r="O121" s="496"/>
      <c r="P121" s="496"/>
      <c r="Q121" s="496"/>
      <c r="R121" s="496"/>
    </row>
    <row r="122" spans="3:18" x14ac:dyDescent="0.2">
      <c r="I122" s="496" t="s">
        <v>742</v>
      </c>
      <c r="J122" s="496"/>
      <c r="K122" s="496"/>
      <c r="L122" s="496"/>
      <c r="M122" s="496"/>
      <c r="N122" s="496"/>
      <c r="O122" s="496"/>
      <c r="P122" s="496"/>
      <c r="Q122" s="496"/>
      <c r="R122" s="496"/>
    </row>
    <row r="123" spans="3:18" x14ac:dyDescent="0.2">
      <c r="I123" s="496" t="s">
        <v>743</v>
      </c>
      <c r="J123" s="496"/>
      <c r="K123" s="496"/>
      <c r="L123" s="496"/>
      <c r="M123" s="496"/>
      <c r="N123" s="496"/>
      <c r="O123" s="496"/>
      <c r="P123" s="496"/>
      <c r="Q123" s="496"/>
      <c r="R123" s="496"/>
    </row>
    <row r="124" spans="3:18" x14ac:dyDescent="0.2">
      <c r="I124" s="496" t="s">
        <v>744</v>
      </c>
      <c r="J124" s="496"/>
      <c r="K124" s="496"/>
      <c r="L124" s="496"/>
      <c r="M124" s="496"/>
      <c r="N124" s="496"/>
      <c r="O124" s="496"/>
      <c r="P124" s="496"/>
      <c r="Q124" s="496"/>
      <c r="R124" s="496"/>
    </row>
    <row r="125" spans="3:18" x14ac:dyDescent="0.2">
      <c r="I125" s="496" t="s">
        <v>745</v>
      </c>
      <c r="J125" s="496"/>
      <c r="K125" s="496"/>
      <c r="L125" s="496"/>
      <c r="M125" s="496"/>
      <c r="N125" s="496"/>
      <c r="O125" s="496"/>
      <c r="P125" s="496"/>
      <c r="Q125" s="496"/>
      <c r="R125" s="496"/>
    </row>
    <row r="126" spans="3:18" x14ac:dyDescent="0.2">
      <c r="I126" s="496" t="s">
        <v>746</v>
      </c>
      <c r="J126" s="496"/>
      <c r="K126" s="496"/>
      <c r="L126" s="496"/>
      <c r="M126" s="496"/>
      <c r="N126" s="496"/>
      <c r="O126" s="496"/>
      <c r="P126" s="496"/>
      <c r="Q126" s="496"/>
      <c r="R126" s="496"/>
    </row>
    <row r="127" spans="3:18" x14ac:dyDescent="0.2">
      <c r="I127" s="496" t="s">
        <v>747</v>
      </c>
      <c r="J127" s="496"/>
      <c r="K127" s="496"/>
      <c r="L127" s="496"/>
      <c r="M127" s="496"/>
      <c r="N127" s="496"/>
      <c r="O127" s="496"/>
      <c r="P127" s="496"/>
      <c r="Q127" s="496"/>
      <c r="R127" s="496"/>
    </row>
    <row r="128" spans="3:18" x14ac:dyDescent="0.2">
      <c r="I128" s="496" t="s">
        <v>748</v>
      </c>
      <c r="J128" s="496"/>
      <c r="K128" s="496"/>
      <c r="L128" s="496"/>
      <c r="M128" s="496"/>
      <c r="N128" s="496"/>
      <c r="O128" s="496"/>
      <c r="P128" s="496"/>
      <c r="Q128" s="496"/>
      <c r="R128" s="496"/>
    </row>
    <row r="129" spans="9:18" x14ac:dyDescent="0.2">
      <c r="I129" s="496" t="s">
        <v>749</v>
      </c>
      <c r="J129" s="496"/>
      <c r="K129" s="496"/>
      <c r="L129" s="496"/>
      <c r="M129" s="496"/>
      <c r="N129" s="496"/>
      <c r="O129" s="496"/>
      <c r="P129" s="496"/>
      <c r="Q129" s="496"/>
      <c r="R129" s="496"/>
    </row>
    <row r="130" spans="9:18" x14ac:dyDescent="0.2">
      <c r="I130" s="496"/>
      <c r="J130" s="496"/>
      <c r="K130" s="496"/>
      <c r="L130" s="496"/>
      <c r="M130" s="496"/>
      <c r="N130" s="496"/>
      <c r="O130" s="496"/>
      <c r="P130" s="496"/>
      <c r="Q130" s="496"/>
      <c r="R130" s="496"/>
    </row>
    <row r="131" spans="9:18" x14ac:dyDescent="0.2">
      <c r="I131" s="496"/>
      <c r="J131" s="496"/>
      <c r="K131" s="496"/>
      <c r="L131" s="496"/>
      <c r="M131" s="496"/>
      <c r="N131" s="496"/>
      <c r="O131" s="496"/>
      <c r="P131" s="496"/>
      <c r="Q131" s="496"/>
      <c r="R131" s="496"/>
    </row>
  </sheetData>
  <sheetProtection algorithmName="SHA-512" hashValue="BIBgHEMtoPwBUDgyIlbfxPm1/y3daVaa1XJRznMrF+Ku1ApUCWJeo1eHv+5p037FJI41uA95cwdcG3j/5F6tqQ==" saltValue="hHNMRNdsvrW74HdPzv5+OA==" spinCount="100000" sheet="1" objects="1" scenarios="1"/>
  <mergeCells count="1">
    <mergeCell ref="I1:N1"/>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64E25-C844-47CA-9906-B4E25DA95A01}">
  <sheetPr codeName="Sheet18"/>
  <dimension ref="A1:M8"/>
  <sheetViews>
    <sheetView workbookViewId="0"/>
  </sheetViews>
  <sheetFormatPr defaultRowHeight="12.75" x14ac:dyDescent="0.2"/>
  <cols>
    <col min="2" max="2" width="54.28515625" customWidth="1"/>
    <col min="4" max="4" width="10.28515625" bestFit="1" customWidth="1"/>
    <col min="5" max="5" width="11.28515625" bestFit="1" customWidth="1"/>
    <col min="6" max="8" width="10.28515625" bestFit="1" customWidth="1"/>
    <col min="9" max="9" width="12.28515625" bestFit="1" customWidth="1"/>
    <col min="10" max="10" width="10.28515625" bestFit="1" customWidth="1"/>
    <col min="13" max="13" width="2.7109375" bestFit="1" customWidth="1"/>
  </cols>
  <sheetData>
    <row r="1" spans="1:13" ht="13.5" thickBot="1" x14ac:dyDescent="0.25">
      <c r="C1" s="590">
        <v>2023</v>
      </c>
      <c r="D1" s="591"/>
      <c r="E1" s="591"/>
      <c r="F1" s="591"/>
      <c r="G1" s="591"/>
      <c r="H1" s="591"/>
      <c r="I1" s="591"/>
      <c r="J1" s="591"/>
      <c r="K1" s="591"/>
      <c r="L1" s="591"/>
      <c r="M1" s="592"/>
    </row>
    <row r="2" spans="1:13" ht="13.5" thickBot="1" x14ac:dyDescent="0.25">
      <c r="C2" s="339" t="s">
        <v>479</v>
      </c>
      <c r="D2" s="340" t="s">
        <v>750</v>
      </c>
      <c r="E2" s="340" t="s">
        <v>751</v>
      </c>
      <c r="F2" s="340" t="s">
        <v>752</v>
      </c>
      <c r="G2" s="340" t="s">
        <v>753</v>
      </c>
      <c r="H2" s="340" t="s">
        <v>754</v>
      </c>
      <c r="I2" s="340" t="s">
        <v>755</v>
      </c>
      <c r="J2" s="340" t="s">
        <v>756</v>
      </c>
      <c r="K2" s="340" t="s">
        <v>757</v>
      </c>
      <c r="L2" s="340" t="s">
        <v>758</v>
      </c>
      <c r="M2" s="341" t="s">
        <v>54</v>
      </c>
    </row>
    <row r="3" spans="1:13" ht="15" thickBot="1" x14ac:dyDescent="0.25">
      <c r="B3" s="1" t="s">
        <v>164</v>
      </c>
    </row>
    <row r="4" spans="1:13" x14ac:dyDescent="0.2">
      <c r="A4" s="33">
        <v>140</v>
      </c>
      <c r="B4" s="3" t="s">
        <v>165</v>
      </c>
      <c r="C4" s="50">
        <v>101945</v>
      </c>
      <c r="D4" s="6">
        <v>0</v>
      </c>
      <c r="E4" s="6">
        <v>0</v>
      </c>
      <c r="F4" s="6">
        <v>6884583</v>
      </c>
      <c r="G4" s="6">
        <v>4754377</v>
      </c>
      <c r="H4" s="6">
        <v>4017222</v>
      </c>
      <c r="I4" s="6">
        <v>12573575</v>
      </c>
      <c r="J4" s="6">
        <v>5023120</v>
      </c>
      <c r="K4" s="6">
        <v>0</v>
      </c>
      <c r="L4" s="6">
        <v>52442</v>
      </c>
      <c r="M4" s="345">
        <f>SUM(C4:L4)</f>
        <v>33407264</v>
      </c>
    </row>
    <row r="5" spans="1:13" x14ac:dyDescent="0.2">
      <c r="A5" s="33">
        <v>145</v>
      </c>
      <c r="B5" s="3" t="s">
        <v>166</v>
      </c>
      <c r="C5" s="50">
        <v>0</v>
      </c>
      <c r="D5" s="6">
        <v>8730800</v>
      </c>
      <c r="E5" s="6">
        <v>5549701</v>
      </c>
      <c r="F5" s="6">
        <v>107737</v>
      </c>
      <c r="G5" s="6">
        <v>2292459</v>
      </c>
      <c r="H5" s="6">
        <v>4256751</v>
      </c>
      <c r="I5" s="6">
        <v>109828167</v>
      </c>
      <c r="J5" s="6">
        <v>0</v>
      </c>
      <c r="K5" s="6">
        <v>247786</v>
      </c>
      <c r="L5" s="6">
        <v>0</v>
      </c>
      <c r="M5" s="346">
        <f>SUM(C5:L5)</f>
        <v>131013401</v>
      </c>
    </row>
    <row r="6" spans="1:13" x14ac:dyDescent="0.2">
      <c r="A6" s="33">
        <v>140</v>
      </c>
      <c r="B6" s="3" t="s">
        <v>167</v>
      </c>
      <c r="C6" s="50">
        <v>0</v>
      </c>
      <c r="D6" s="6">
        <v>0</v>
      </c>
      <c r="E6" s="6">
        <v>32009549</v>
      </c>
      <c r="F6" s="6">
        <v>0</v>
      </c>
      <c r="G6" s="6">
        <v>4038</v>
      </c>
      <c r="H6" s="6">
        <v>0</v>
      </c>
      <c r="I6" s="6">
        <v>0</v>
      </c>
      <c r="J6" s="6">
        <v>0</v>
      </c>
      <c r="K6" s="6">
        <v>0</v>
      </c>
      <c r="L6" s="6">
        <v>0</v>
      </c>
      <c r="M6" s="346">
        <f>SUM(C6:L6)</f>
        <v>32013587</v>
      </c>
    </row>
    <row r="7" spans="1:13" ht="13.5" thickBot="1" x14ac:dyDescent="0.25">
      <c r="A7" s="33">
        <v>145</v>
      </c>
      <c r="B7" s="3" t="s">
        <v>168</v>
      </c>
      <c r="C7" s="51">
        <v>0</v>
      </c>
      <c r="D7" s="7">
        <v>0</v>
      </c>
      <c r="E7" s="7">
        <v>0</v>
      </c>
      <c r="F7" s="7">
        <v>0</v>
      </c>
      <c r="G7" s="7">
        <v>16120</v>
      </c>
      <c r="H7" s="7">
        <v>0</v>
      </c>
      <c r="I7" s="7">
        <v>0</v>
      </c>
      <c r="J7" s="7">
        <v>0</v>
      </c>
      <c r="K7" s="7">
        <v>0</v>
      </c>
      <c r="L7" s="7">
        <v>0</v>
      </c>
      <c r="M7" s="347">
        <f>SUM(C7:L7)</f>
        <v>16120</v>
      </c>
    </row>
    <row r="8" spans="1:13" ht="13.5" thickBot="1" x14ac:dyDescent="0.25">
      <c r="A8" s="33"/>
      <c r="B8" s="342" t="s">
        <v>54</v>
      </c>
      <c r="C8" s="343">
        <f t="shared" ref="C8:L8" si="0">SUM(C4:C7)</f>
        <v>101945</v>
      </c>
      <c r="D8" s="343">
        <f t="shared" si="0"/>
        <v>8730800</v>
      </c>
      <c r="E8" s="343">
        <f t="shared" si="0"/>
        <v>37559250</v>
      </c>
      <c r="F8" s="343">
        <f t="shared" si="0"/>
        <v>6992320</v>
      </c>
      <c r="G8" s="343">
        <f t="shared" si="0"/>
        <v>7066994</v>
      </c>
      <c r="H8" s="343">
        <f t="shared" si="0"/>
        <v>8273973</v>
      </c>
      <c r="I8" s="343">
        <f t="shared" si="0"/>
        <v>122401742</v>
      </c>
      <c r="J8" s="343">
        <f t="shared" si="0"/>
        <v>5023120</v>
      </c>
      <c r="K8" s="343">
        <f t="shared" si="0"/>
        <v>247786</v>
      </c>
      <c r="L8" s="343">
        <f t="shared" si="0"/>
        <v>52442</v>
      </c>
      <c r="M8" s="344">
        <f>SUM(C8:L8)</f>
        <v>196450372</v>
      </c>
    </row>
  </sheetData>
  <mergeCells count="1">
    <mergeCell ref="C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6"/>
  <sheetViews>
    <sheetView showGridLines="0" zoomScaleNormal="100" workbookViewId="0">
      <selection activeCell="G27" sqref="G27"/>
    </sheetView>
  </sheetViews>
  <sheetFormatPr defaultRowHeight="12.75" x14ac:dyDescent="0.2"/>
  <cols>
    <col min="1" max="1" width="12.7109375" customWidth="1"/>
    <col min="2" max="2" width="2.7109375" customWidth="1"/>
    <col min="3" max="3" width="28.7109375" customWidth="1"/>
    <col min="4" max="4" width="49.140625" customWidth="1"/>
    <col min="5" max="5" width="12.7109375" customWidth="1"/>
  </cols>
  <sheetData>
    <row r="1" spans="1:5" ht="5.0999999999999996" customHeight="1" x14ac:dyDescent="0.2"/>
    <row r="2" spans="1:5" ht="15" x14ac:dyDescent="0.25">
      <c r="A2" s="552" t="s">
        <v>16</v>
      </c>
      <c r="B2" s="552"/>
      <c r="C2" s="552"/>
      <c r="D2" s="552"/>
      <c r="E2" s="552"/>
    </row>
    <row r="3" spans="1:5" ht="15" x14ac:dyDescent="0.25">
      <c r="A3" s="552" t="s">
        <v>17</v>
      </c>
      <c r="B3" s="552"/>
      <c r="C3" s="552"/>
      <c r="D3" s="552"/>
      <c r="E3" s="552"/>
    </row>
    <row r="4" spans="1:5" ht="7.5" customHeight="1" x14ac:dyDescent="0.25">
      <c r="A4" s="450"/>
      <c r="B4" s="450"/>
      <c r="C4" s="450"/>
      <c r="D4" s="450"/>
      <c r="E4" s="450"/>
    </row>
    <row r="5" spans="1:5" x14ac:dyDescent="0.2">
      <c r="B5" s="25" t="s">
        <v>18</v>
      </c>
    </row>
    <row r="6" spans="1:5" x14ac:dyDescent="0.2">
      <c r="C6" s="231" t="s">
        <v>19</v>
      </c>
      <c r="D6" s="304" t="s">
        <v>403</v>
      </c>
    </row>
    <row r="7" spans="1:5" x14ac:dyDescent="0.2">
      <c r="C7" s="26" t="s">
        <v>21</v>
      </c>
      <c r="D7" s="27" t="str">
        <f>VLOOKUP(D6,'Net Assets'!A5:C22,2,FALSE)</f>
        <v>UNC System Office</v>
      </c>
    </row>
    <row r="8" spans="1:5" ht="6" customHeight="1" x14ac:dyDescent="0.2">
      <c r="B8" s="25"/>
    </row>
    <row r="9" spans="1:5" x14ac:dyDescent="0.2">
      <c r="B9" s="25" t="s">
        <v>22</v>
      </c>
    </row>
    <row r="10" spans="1:5" x14ac:dyDescent="0.2">
      <c r="C10" s="26" t="s">
        <v>23</v>
      </c>
      <c r="D10" s="48"/>
    </row>
    <row r="11" spans="1:5" ht="5.0999999999999996" customHeight="1" x14ac:dyDescent="0.2">
      <c r="C11" s="26"/>
      <c r="D11" s="26"/>
    </row>
    <row r="12" spans="1:5" x14ac:dyDescent="0.2">
      <c r="C12" s="26" t="s">
        <v>24</v>
      </c>
      <c r="D12" s="55"/>
    </row>
    <row r="13" spans="1:5" ht="5.0999999999999996" customHeight="1" x14ac:dyDescent="0.2">
      <c r="C13" s="26"/>
      <c r="D13" s="26"/>
    </row>
    <row r="14" spans="1:5" x14ac:dyDescent="0.2">
      <c r="C14" s="26" t="s">
        <v>25</v>
      </c>
      <c r="D14" s="48"/>
    </row>
    <row r="15" spans="1:5" ht="6" customHeight="1" x14ac:dyDescent="0.2"/>
    <row r="16" spans="1:5" x14ac:dyDescent="0.2">
      <c r="B16" s="25" t="s">
        <v>26</v>
      </c>
    </row>
    <row r="17" spans="3:4" x14ac:dyDescent="0.2">
      <c r="C17" t="s">
        <v>27</v>
      </c>
      <c r="D17" s="430" t="s">
        <v>28</v>
      </c>
    </row>
    <row r="18" spans="3:4" ht="5.0999999999999996" customHeight="1" x14ac:dyDescent="0.2">
      <c r="D18" s="305"/>
    </row>
    <row r="19" spans="3:4" x14ac:dyDescent="0.2">
      <c r="C19" t="s">
        <v>29</v>
      </c>
      <c r="D19" s="430"/>
    </row>
    <row r="20" spans="3:4" ht="5.0999999999999996" customHeight="1" x14ac:dyDescent="0.2">
      <c r="D20" s="306"/>
    </row>
    <row r="21" spans="3:4" ht="12.75" customHeight="1" x14ac:dyDescent="0.2">
      <c r="C21" t="s">
        <v>30</v>
      </c>
      <c r="D21" s="430"/>
    </row>
    <row r="22" spans="3:4" ht="5.0999999999999996" customHeight="1" x14ac:dyDescent="0.2">
      <c r="D22" s="305"/>
    </row>
    <row r="23" spans="3:4" x14ac:dyDescent="0.2">
      <c r="C23" t="s">
        <v>31</v>
      </c>
      <c r="D23" s="430"/>
    </row>
    <row r="24" spans="3:4" ht="5.0999999999999996" customHeight="1" x14ac:dyDescent="0.2">
      <c r="D24" s="305"/>
    </row>
    <row r="25" spans="3:4" x14ac:dyDescent="0.2">
      <c r="C25" t="s">
        <v>32</v>
      </c>
      <c r="D25" s="541"/>
    </row>
    <row r="26" spans="3:4" ht="5.0999999999999996" customHeight="1" x14ac:dyDescent="0.2"/>
    <row r="27" spans="3:4" x14ac:dyDescent="0.2">
      <c r="C27" s="553" t="s">
        <v>33</v>
      </c>
      <c r="D27" s="553"/>
    </row>
    <row r="28" spans="3:4" ht="6.95" customHeight="1" x14ac:dyDescent="0.2">
      <c r="C28" s="451"/>
      <c r="D28" s="451"/>
    </row>
    <row r="29" spans="3:4" x14ac:dyDescent="0.2">
      <c r="C29" s="56" t="s">
        <v>34</v>
      </c>
      <c r="D29" s="451"/>
    </row>
    <row r="30" spans="3:4" x14ac:dyDescent="0.2">
      <c r="C30" s="231" t="s">
        <v>35</v>
      </c>
      <c r="D30" s="451"/>
    </row>
    <row r="31" spans="3:4" x14ac:dyDescent="0.2">
      <c r="C31" t="s">
        <v>36</v>
      </c>
    </row>
    <row r="32" spans="3:4" x14ac:dyDescent="0.2">
      <c r="C32" t="s">
        <v>37</v>
      </c>
    </row>
    <row r="33" spans="3:4" ht="13.5" thickBot="1" x14ac:dyDescent="0.25">
      <c r="C33" t="s">
        <v>38</v>
      </c>
    </row>
    <row r="34" spans="3:4" ht="13.5" thickBot="1" x14ac:dyDescent="0.25">
      <c r="C34" s="75" t="s">
        <v>39</v>
      </c>
      <c r="D34" s="303"/>
    </row>
    <row r="35" spans="3:4" x14ac:dyDescent="0.2">
      <c r="C35" s="149" t="s">
        <v>40</v>
      </c>
    </row>
    <row r="36" spans="3:4" x14ac:dyDescent="0.2">
      <c r="C36" s="149" t="s">
        <v>41</v>
      </c>
    </row>
  </sheetData>
  <sheetProtection algorithmName="SHA-512" hashValue="TQLd82aDkosZ0ssSLGgQ1RXwQl6GvCpzZDinuHw8/J1PMCbk9zK+18Jlt7pt3px444H2oYCibGbHSLp6HRPRpg==" saltValue="eJMkRG5bZwCy9ziv64p08A==" spinCount="100000" sheet="1" formatColumns="0" formatRows="0" autoFilter="0"/>
  <mergeCells count="3">
    <mergeCell ref="A2:E2"/>
    <mergeCell ref="A3:E3"/>
    <mergeCell ref="C27:D27"/>
  </mergeCells>
  <phoneticPr fontId="0" type="noConversion"/>
  <dataValidations count="1">
    <dataValidation type="list" allowBlank="1" showInputMessage="1" showErrorMessage="1" sqref="D6" xr:uid="{00000000-0002-0000-0100-000000000000}">
      <formula1>Number</formula1>
    </dataValidation>
  </dataValidations>
  <pageMargins left="0.25" right="0.25" top="1" bottom="1" header="0.5" footer="0.2"/>
  <pageSetup scale="91" orientation="landscape" r:id="rId1"/>
  <headerFooter alignWithMargins="0">
    <oddFooter>&amp;L&amp;F &amp;A&amp;C&amp;P of &amp;N&amp;R&amp;D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1CBF0-23B1-4222-B64E-0A1FC8C01AA1}">
  <sheetPr codeName="Sheet13">
    <pageSetUpPr fitToPage="1"/>
  </sheetPr>
  <dimension ref="A1:J34"/>
  <sheetViews>
    <sheetView zoomScaleNormal="100" workbookViewId="0">
      <selection activeCell="C18" sqref="C18"/>
    </sheetView>
  </sheetViews>
  <sheetFormatPr defaultRowHeight="12.75" x14ac:dyDescent="0.2"/>
  <cols>
    <col min="1" max="1" width="13.7109375" customWidth="1"/>
    <col min="2" max="2" width="2.7109375" customWidth="1"/>
    <col min="3" max="3" width="44.7109375" customWidth="1"/>
    <col min="4" max="4" width="2.7109375" customWidth="1"/>
    <col min="5" max="5" width="82.28515625" customWidth="1"/>
    <col min="7" max="7" width="46.5703125" style="425" hidden="1" customWidth="1"/>
    <col min="8" max="8" width="20.42578125" style="425" hidden="1" customWidth="1"/>
    <col min="9" max="9" width="15.28515625" style="425" hidden="1" customWidth="1"/>
    <col min="10" max="10" width="16.85546875" style="425" hidden="1" customWidth="1"/>
  </cols>
  <sheetData>
    <row r="1" spans="1:10" ht="18.75" x14ac:dyDescent="0.3">
      <c r="A1" s="554" t="s">
        <v>13</v>
      </c>
      <c r="B1" s="554"/>
      <c r="C1" s="554"/>
      <c r="D1" s="554"/>
      <c r="E1" s="554"/>
      <c r="G1" s="419"/>
      <c r="H1" s="419"/>
      <c r="I1" s="419"/>
      <c r="J1" s="419"/>
    </row>
    <row r="2" spans="1:10" ht="15.75" x14ac:dyDescent="0.25">
      <c r="A2" s="555" t="s">
        <v>784</v>
      </c>
      <c r="B2" s="555"/>
      <c r="C2" s="555"/>
      <c r="D2" s="555"/>
      <c r="E2" s="555"/>
      <c r="G2" s="420" t="s">
        <v>42</v>
      </c>
      <c r="H2" s="419"/>
      <c r="I2" s="419"/>
      <c r="J2" s="419"/>
    </row>
    <row r="3" spans="1:10" ht="15.75" x14ac:dyDescent="0.2">
      <c r="A3" s="278"/>
      <c r="B3" s="279"/>
      <c r="C3" s="278"/>
      <c r="D3" s="279"/>
      <c r="E3" s="280"/>
      <c r="G3" s="419"/>
      <c r="H3" s="419"/>
      <c r="I3" s="419"/>
      <c r="J3" s="419"/>
    </row>
    <row r="4" spans="1:10" ht="15.75" customHeight="1" x14ac:dyDescent="0.2">
      <c r="G4" s="556" t="s">
        <v>43</v>
      </c>
      <c r="H4" s="556"/>
      <c r="I4" s="556"/>
      <c r="J4" s="556"/>
    </row>
    <row r="5" spans="1:10" ht="36" customHeight="1" thickBot="1" x14ac:dyDescent="0.3">
      <c r="A5" s="281" t="s">
        <v>44</v>
      </c>
      <c r="C5" s="281" t="s">
        <v>45</v>
      </c>
      <c r="E5" s="282" t="s">
        <v>46</v>
      </c>
      <c r="G5" s="421" t="s">
        <v>47</v>
      </c>
      <c r="H5" s="421" t="s">
        <v>48</v>
      </c>
      <c r="I5" s="421" t="s">
        <v>49</v>
      </c>
      <c r="J5" s="421" t="s">
        <v>50</v>
      </c>
    </row>
    <row r="6" spans="1:10" s="288" customFormat="1" ht="14.25" x14ac:dyDescent="0.2">
      <c r="A6" s="363">
        <v>45831</v>
      </c>
      <c r="B6" s="364"/>
      <c r="C6" s="365" t="s">
        <v>790</v>
      </c>
      <c r="D6" s="364"/>
      <c r="E6" s="366" t="s">
        <v>796</v>
      </c>
      <c r="G6" s="423" t="s">
        <v>789</v>
      </c>
      <c r="H6" s="422">
        <v>45833</v>
      </c>
      <c r="I6" s="422">
        <v>45831</v>
      </c>
      <c r="J6" s="422">
        <v>45832</v>
      </c>
    </row>
    <row r="7" spans="1:10" s="288" customFormat="1" ht="28.5" x14ac:dyDescent="0.2">
      <c r="A7" s="363">
        <v>45832</v>
      </c>
      <c r="B7" s="364"/>
      <c r="C7" s="365" t="s">
        <v>142</v>
      </c>
      <c r="D7" s="364"/>
      <c r="E7" s="366" t="s">
        <v>795</v>
      </c>
      <c r="G7" s="423" t="s">
        <v>789</v>
      </c>
      <c r="H7" s="422">
        <v>45833</v>
      </c>
      <c r="I7" s="422">
        <v>45832</v>
      </c>
      <c r="J7" s="422">
        <v>45832</v>
      </c>
    </row>
    <row r="8" spans="1:10" ht="14.25" x14ac:dyDescent="0.2">
      <c r="A8" s="283">
        <v>45833</v>
      </c>
      <c r="B8" s="279"/>
      <c r="C8" s="284" t="s">
        <v>791</v>
      </c>
      <c r="D8" s="279"/>
      <c r="E8" s="285" t="s">
        <v>793</v>
      </c>
      <c r="G8" s="423" t="s">
        <v>789</v>
      </c>
      <c r="H8" s="422">
        <v>45833</v>
      </c>
      <c r="I8" s="422">
        <v>45832</v>
      </c>
      <c r="J8" s="422">
        <v>45832</v>
      </c>
    </row>
    <row r="9" spans="1:10" ht="14.25" x14ac:dyDescent="0.2">
      <c r="A9" s="283"/>
      <c r="B9" s="279"/>
      <c r="C9" s="284"/>
      <c r="D9" s="279"/>
      <c r="E9" s="285"/>
      <c r="G9" s="423"/>
      <c r="H9" s="422"/>
      <c r="I9" s="422"/>
      <c r="J9" s="422"/>
    </row>
    <row r="10" spans="1:10" ht="14.25" x14ac:dyDescent="0.2">
      <c r="A10" s="283"/>
      <c r="B10" s="279"/>
      <c r="C10" s="284"/>
      <c r="D10" s="279"/>
      <c r="E10" s="285"/>
      <c r="G10" s="423"/>
      <c r="H10" s="422"/>
      <c r="I10" s="422"/>
      <c r="J10" s="422"/>
    </row>
    <row r="11" spans="1:10" ht="14.25" x14ac:dyDescent="0.2">
      <c r="A11" s="283"/>
      <c r="B11" s="279"/>
      <c r="C11" s="284"/>
      <c r="D11" s="279"/>
      <c r="E11" s="285"/>
      <c r="G11" s="423"/>
      <c r="H11" s="422"/>
      <c r="I11" s="422"/>
      <c r="J11" s="422"/>
    </row>
    <row r="12" spans="1:10" ht="14.25" x14ac:dyDescent="0.2">
      <c r="A12" s="283"/>
      <c r="B12" s="279"/>
      <c r="C12" s="284"/>
      <c r="D12" s="279"/>
      <c r="E12" s="285"/>
      <c r="G12" s="423"/>
      <c r="H12" s="422"/>
      <c r="I12" s="422"/>
      <c r="J12" s="422"/>
    </row>
    <row r="13" spans="1:10" ht="14.25" x14ac:dyDescent="0.2">
      <c r="A13" s="283"/>
      <c r="B13" s="279"/>
      <c r="C13" s="284"/>
      <c r="D13" s="279"/>
      <c r="E13" s="285"/>
      <c r="G13" s="423"/>
      <c r="H13" s="422"/>
      <c r="I13" s="422"/>
      <c r="J13" s="422"/>
    </row>
    <row r="14" spans="1:10" ht="14.25" x14ac:dyDescent="0.2">
      <c r="A14" s="283"/>
      <c r="B14" s="279"/>
      <c r="C14" s="284"/>
      <c r="D14" s="279"/>
      <c r="E14" s="285"/>
      <c r="G14" s="423"/>
      <c r="H14" s="422"/>
      <c r="I14" s="422"/>
      <c r="J14" s="422"/>
    </row>
    <row r="15" spans="1:10" ht="14.25" x14ac:dyDescent="0.2">
      <c r="A15" s="283"/>
      <c r="B15" s="279"/>
      <c r="C15" s="284"/>
      <c r="D15" s="279"/>
      <c r="E15" s="285"/>
      <c r="G15" s="423"/>
      <c r="H15" s="422"/>
      <c r="I15" s="422"/>
      <c r="J15" s="422"/>
    </row>
    <row r="16" spans="1:10" ht="14.25" x14ac:dyDescent="0.2">
      <c r="A16" s="283"/>
      <c r="B16" s="279"/>
      <c r="C16" s="284"/>
      <c r="D16" s="279"/>
      <c r="E16" s="285"/>
      <c r="G16" s="423"/>
      <c r="H16" s="422"/>
      <c r="I16" s="422"/>
      <c r="J16" s="422"/>
    </row>
    <row r="17" spans="1:10" ht="14.25" x14ac:dyDescent="0.2">
      <c r="A17" s="278"/>
      <c r="B17" s="279"/>
      <c r="C17" s="278"/>
      <c r="D17" s="279"/>
      <c r="E17" s="286"/>
      <c r="G17" s="424"/>
      <c r="H17" s="422"/>
      <c r="I17" s="422"/>
      <c r="J17" s="422"/>
    </row>
    <row r="18" spans="1:10" ht="14.25" x14ac:dyDescent="0.2">
      <c r="A18" s="278"/>
      <c r="B18" s="279"/>
      <c r="C18" s="278"/>
      <c r="D18" s="279"/>
      <c r="E18" s="286"/>
      <c r="G18" s="424"/>
      <c r="H18" s="422"/>
      <c r="I18" s="422"/>
      <c r="J18" s="422"/>
    </row>
    <row r="19" spans="1:10" ht="14.25" x14ac:dyDescent="0.2">
      <c r="A19" s="278"/>
      <c r="B19" s="279"/>
      <c r="C19" s="278"/>
      <c r="D19" s="279"/>
      <c r="E19" s="286"/>
      <c r="G19" s="424"/>
      <c r="H19" s="422"/>
      <c r="I19" s="422"/>
      <c r="J19" s="422"/>
    </row>
    <row r="20" spans="1:10" ht="14.25" x14ac:dyDescent="0.2">
      <c r="A20" s="278"/>
      <c r="B20" s="279"/>
      <c r="C20" s="278"/>
      <c r="D20" s="279"/>
      <c r="E20" s="286"/>
      <c r="G20" s="424"/>
      <c r="H20" s="422"/>
      <c r="I20" s="422"/>
      <c r="J20" s="422"/>
    </row>
    <row r="21" spans="1:10" ht="14.25" x14ac:dyDescent="0.2">
      <c r="A21" s="278"/>
      <c r="B21" s="279"/>
      <c r="C21" s="278"/>
      <c r="D21" s="279"/>
      <c r="E21" s="286"/>
      <c r="G21" s="424"/>
      <c r="H21" s="422"/>
      <c r="I21" s="422"/>
      <c r="J21" s="422"/>
    </row>
    <row r="22" spans="1:10" ht="14.25" x14ac:dyDescent="0.2">
      <c r="A22" s="278"/>
      <c r="B22" s="279"/>
      <c r="C22" s="278"/>
      <c r="D22" s="279"/>
      <c r="E22" s="286"/>
      <c r="G22" s="424"/>
      <c r="H22" s="422"/>
      <c r="I22" s="422"/>
      <c r="J22" s="422"/>
    </row>
    <row r="23" spans="1:10" x14ac:dyDescent="0.2">
      <c r="G23" s="424"/>
      <c r="H23" s="422"/>
      <c r="I23" s="422"/>
      <c r="J23" s="422"/>
    </row>
    <row r="24" spans="1:10" x14ac:dyDescent="0.2">
      <c r="G24" s="424"/>
      <c r="H24" s="422"/>
      <c r="I24" s="422"/>
      <c r="J24" s="422"/>
    </row>
    <row r="25" spans="1:10" x14ac:dyDescent="0.2">
      <c r="G25" s="424"/>
      <c r="H25" s="422"/>
      <c r="I25" s="422"/>
      <c r="J25" s="422"/>
    </row>
    <row r="26" spans="1:10" x14ac:dyDescent="0.2">
      <c r="G26" s="424"/>
      <c r="H26" s="422"/>
      <c r="I26" s="422"/>
      <c r="J26" s="422"/>
    </row>
    <row r="27" spans="1:10" x14ac:dyDescent="0.2">
      <c r="G27" s="424"/>
      <c r="H27" s="422"/>
      <c r="I27" s="422"/>
      <c r="J27" s="422"/>
    </row>
    <row r="28" spans="1:10" x14ac:dyDescent="0.2">
      <c r="G28" s="424"/>
      <c r="H28" s="422"/>
      <c r="I28" s="422"/>
      <c r="J28" s="422"/>
    </row>
    <row r="29" spans="1:10" x14ac:dyDescent="0.2">
      <c r="G29" s="424"/>
      <c r="H29" s="422"/>
      <c r="I29" s="422"/>
      <c r="J29" s="422"/>
    </row>
    <row r="30" spans="1:10" x14ac:dyDescent="0.2">
      <c r="G30" s="424"/>
      <c r="H30" s="422"/>
      <c r="I30" s="422"/>
      <c r="J30" s="422"/>
    </row>
    <row r="31" spans="1:10" x14ac:dyDescent="0.2">
      <c r="G31" s="424"/>
      <c r="H31" s="422"/>
      <c r="I31" s="422"/>
      <c r="J31" s="422"/>
    </row>
    <row r="32" spans="1:10" x14ac:dyDescent="0.2">
      <c r="G32" s="424"/>
      <c r="H32" s="422"/>
      <c r="I32" s="422"/>
      <c r="J32" s="422"/>
    </row>
    <row r="33" spans="7:10" x14ac:dyDescent="0.2">
      <c r="G33" s="424"/>
      <c r="H33" s="422"/>
      <c r="I33" s="422"/>
      <c r="J33" s="422"/>
    </row>
    <row r="34" spans="7:10" x14ac:dyDescent="0.2">
      <c r="G34" s="424"/>
      <c r="H34" s="422"/>
      <c r="I34" s="422"/>
      <c r="J34" s="422"/>
    </row>
  </sheetData>
  <sheetProtection algorithmName="SHA-512" hashValue="FYjEvSPQN/5bgjnW2PYj7dDyHq+yg1FU5tgMamjEKzzt3HXFgQaj3cFlnowP7Pjb6ny6HsC4WMpjlxDHoCOrhw==" saltValue="/SSnxeXwBls56qoaXkMULQ==" spinCount="100000" sheet="1" objects="1" scenarios="1"/>
  <mergeCells count="3">
    <mergeCell ref="A1:E1"/>
    <mergeCell ref="A2:E2"/>
    <mergeCell ref="G4:J4"/>
  </mergeCells>
  <pageMargins left="0.7" right="0.7" top="0.75" bottom="0.75" header="0.3" footer="0.3"/>
  <pageSetup scale="8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79"/>
  <sheetViews>
    <sheetView zoomScale="115" zoomScaleNormal="115" workbookViewId="0">
      <selection activeCell="Q26" sqref="Q26"/>
    </sheetView>
  </sheetViews>
  <sheetFormatPr defaultRowHeight="12.75" x14ac:dyDescent="0.2"/>
  <cols>
    <col min="1" max="1" width="5.28515625" customWidth="1"/>
    <col min="2" max="2" width="40.85546875" customWidth="1"/>
    <col min="3" max="3" width="1.28515625" customWidth="1"/>
    <col min="4" max="4" width="16.5703125" customWidth="1"/>
    <col min="5" max="5" width="1.28515625" customWidth="1"/>
    <col min="6" max="6" width="16.5703125" customWidth="1"/>
    <col min="7" max="7" width="1.28515625" customWidth="1"/>
    <col min="8" max="8" width="15.5703125" customWidth="1"/>
    <col min="9" max="9" width="1.28515625" customWidth="1"/>
    <col min="10" max="10" width="13.85546875" customWidth="1"/>
    <col min="11" max="11" width="1.28515625" customWidth="1"/>
    <col min="12" max="12" width="14.7109375" customWidth="1"/>
    <col min="13" max="13" width="1.28515625" customWidth="1"/>
    <col min="14" max="14" width="16.28515625" customWidth="1"/>
    <col min="15" max="15" width="6.140625" customWidth="1"/>
    <col min="16" max="16" width="14.28515625" customWidth="1"/>
  </cols>
  <sheetData>
    <row r="1" spans="1:14" ht="12.75" customHeight="1" x14ac:dyDescent="0.2">
      <c r="A1" s="277" t="str">
        <f>CONCATENATE(Info!D7," Foundations")</f>
        <v>UNC System Office Foundations</v>
      </c>
      <c r="N1" s="31" t="s">
        <v>51</v>
      </c>
    </row>
    <row r="2" spans="1:14" ht="12.75" customHeight="1" x14ac:dyDescent="0.2">
      <c r="A2" s="1" t="s">
        <v>52</v>
      </c>
    </row>
    <row r="3" spans="1:14" ht="12.75" customHeight="1" x14ac:dyDescent="0.2">
      <c r="A3" s="150" t="s">
        <v>53</v>
      </c>
    </row>
    <row r="4" spans="1:14" ht="8.1" customHeight="1" x14ac:dyDescent="0.2">
      <c r="B4" s="151"/>
    </row>
    <row r="5" spans="1:14" ht="11.85" customHeight="1" x14ac:dyDescent="0.2">
      <c r="B5" s="151"/>
      <c r="D5" s="557" t="str">
        <f>Info!D17</f>
        <v>Name of Foundation</v>
      </c>
      <c r="F5" s="557">
        <f>Info!D19</f>
        <v>0</v>
      </c>
      <c r="H5" s="557">
        <f>Info!D21</f>
        <v>0</v>
      </c>
      <c r="J5" s="557">
        <f>Info!D23</f>
        <v>0</v>
      </c>
      <c r="L5" s="557">
        <f>Info!D25</f>
        <v>0</v>
      </c>
    </row>
    <row r="6" spans="1:14" ht="11.85" customHeight="1" x14ac:dyDescent="0.2">
      <c r="D6" s="557"/>
      <c r="E6" s="32"/>
      <c r="F6" s="557"/>
      <c r="G6" s="33"/>
      <c r="H6" s="557"/>
      <c r="I6" s="33"/>
      <c r="J6" s="557"/>
      <c r="K6" s="33"/>
      <c r="L6" s="557"/>
      <c r="M6" s="33"/>
      <c r="N6" s="33"/>
    </row>
    <row r="7" spans="1:14" ht="11.85" customHeight="1" x14ac:dyDescent="0.2">
      <c r="D7" s="558"/>
      <c r="E7" s="32"/>
      <c r="F7" s="558"/>
      <c r="G7" s="33"/>
      <c r="H7" s="558"/>
      <c r="I7" s="33"/>
      <c r="J7" s="558"/>
      <c r="K7" s="33"/>
      <c r="L7" s="558"/>
      <c r="M7" s="33"/>
      <c r="N7" s="41" t="s">
        <v>54</v>
      </c>
    </row>
    <row r="8" spans="1:14" x14ac:dyDescent="0.2">
      <c r="A8" s="32"/>
      <c r="B8" s="136" t="s">
        <v>55</v>
      </c>
      <c r="C8" s="32"/>
      <c r="D8" s="32"/>
      <c r="E8" s="32"/>
      <c r="F8" s="32"/>
      <c r="G8" s="32"/>
      <c r="H8" s="32"/>
      <c r="I8" s="32"/>
      <c r="J8" s="32"/>
      <c r="K8" s="32"/>
      <c r="L8" s="32"/>
      <c r="M8" s="32"/>
      <c r="N8" s="32"/>
    </row>
    <row r="9" spans="1:14" ht="11.85" customHeight="1" x14ac:dyDescent="0.2">
      <c r="A9" s="33">
        <v>100</v>
      </c>
      <c r="B9" s="32" t="s">
        <v>56</v>
      </c>
      <c r="C9" s="32"/>
      <c r="D9" s="232">
        <v>0</v>
      </c>
      <c r="E9" s="204"/>
      <c r="F9" s="232">
        <v>0</v>
      </c>
      <c r="G9" s="233"/>
      <c r="H9" s="232">
        <v>0</v>
      </c>
      <c r="I9" s="232"/>
      <c r="J9" s="232">
        <v>0</v>
      </c>
      <c r="K9" s="232"/>
      <c r="L9" s="232">
        <v>0</v>
      </c>
      <c r="M9" s="233"/>
      <c r="N9" s="233">
        <f>D9+F9+H9+J9+L9</f>
        <v>0</v>
      </c>
    </row>
    <row r="10" spans="1:14" ht="11.85" customHeight="1" x14ac:dyDescent="0.2">
      <c r="A10" s="33" t="s">
        <v>57</v>
      </c>
      <c r="B10" s="32" t="s">
        <v>58</v>
      </c>
      <c r="C10" s="32"/>
      <c r="D10" s="234">
        <v>0</v>
      </c>
      <c r="E10" s="204"/>
      <c r="F10" s="234">
        <v>0</v>
      </c>
      <c r="G10" s="235"/>
      <c r="H10" s="234">
        <v>0</v>
      </c>
      <c r="I10" s="234"/>
      <c r="J10" s="234">
        <v>0</v>
      </c>
      <c r="K10" s="234"/>
      <c r="L10" s="234">
        <v>0</v>
      </c>
      <c r="M10" s="235"/>
      <c r="N10" s="235">
        <f>D10+F10+H10+J10+L10</f>
        <v>0</v>
      </c>
    </row>
    <row r="11" spans="1:14" ht="11.85" customHeight="1" x14ac:dyDescent="0.2">
      <c r="A11" s="33">
        <v>105</v>
      </c>
      <c r="B11" s="32" t="s">
        <v>59</v>
      </c>
      <c r="C11" s="32"/>
      <c r="D11" s="234">
        <v>0</v>
      </c>
      <c r="E11" s="204"/>
      <c r="F11" s="234">
        <v>0</v>
      </c>
      <c r="G11" s="235"/>
      <c r="H11" s="234">
        <v>0</v>
      </c>
      <c r="I11" s="234"/>
      <c r="J11" s="234">
        <v>0</v>
      </c>
      <c r="K11" s="234"/>
      <c r="L11" s="234">
        <v>0</v>
      </c>
      <c r="M11" s="235"/>
      <c r="N11" s="235">
        <f>D11+F11+H11+J11+L11</f>
        <v>0</v>
      </c>
    </row>
    <row r="12" spans="1:14" ht="11.85" customHeight="1" x14ac:dyDescent="0.2">
      <c r="A12" s="33">
        <v>105</v>
      </c>
      <c r="B12" s="32" t="s">
        <v>60</v>
      </c>
      <c r="C12" s="32"/>
      <c r="D12" s="234">
        <v>0</v>
      </c>
      <c r="E12" s="204"/>
      <c r="F12" s="234">
        <v>0</v>
      </c>
      <c r="G12" s="235"/>
      <c r="H12" s="234">
        <v>0</v>
      </c>
      <c r="I12" s="234"/>
      <c r="J12" s="234">
        <v>0</v>
      </c>
      <c r="K12" s="234"/>
      <c r="L12" s="234">
        <v>0</v>
      </c>
      <c r="M12" s="235"/>
      <c r="N12" s="235">
        <f>D12+F12+H12+J12+L12</f>
        <v>0</v>
      </c>
    </row>
    <row r="13" spans="1:14" ht="11.85" customHeight="1" x14ac:dyDescent="0.2">
      <c r="A13" s="33">
        <v>105</v>
      </c>
      <c r="B13" s="32" t="s">
        <v>61</v>
      </c>
      <c r="C13" s="32"/>
      <c r="D13" s="234">
        <v>0</v>
      </c>
      <c r="E13" s="204"/>
      <c r="F13" s="234">
        <v>0</v>
      </c>
      <c r="G13" s="235"/>
      <c r="H13" s="234">
        <v>0</v>
      </c>
      <c r="I13" s="234"/>
      <c r="J13" s="234">
        <v>0</v>
      </c>
      <c r="K13" s="234"/>
      <c r="L13" s="234">
        <v>0</v>
      </c>
      <c r="M13" s="235"/>
      <c r="N13" s="235">
        <f t="shared" ref="N13:N28" si="0">D13+F13+H13+J13+L13</f>
        <v>0</v>
      </c>
    </row>
    <row r="14" spans="1:14" ht="11.85" customHeight="1" x14ac:dyDescent="0.2">
      <c r="A14" s="33">
        <v>105</v>
      </c>
      <c r="B14" s="32" t="s">
        <v>62</v>
      </c>
      <c r="C14" s="32"/>
      <c r="D14" s="234">
        <v>0</v>
      </c>
      <c r="E14" s="204"/>
      <c r="F14" s="234">
        <v>0</v>
      </c>
      <c r="G14" s="235"/>
      <c r="H14" s="234">
        <v>0</v>
      </c>
      <c r="I14" s="234"/>
      <c r="J14" s="234">
        <v>0</v>
      </c>
      <c r="K14" s="234"/>
      <c r="L14" s="234">
        <v>0</v>
      </c>
      <c r="M14" s="235"/>
      <c r="N14" s="235">
        <f t="shared" si="0"/>
        <v>0</v>
      </c>
    </row>
    <row r="15" spans="1:14" ht="11.85" customHeight="1" x14ac:dyDescent="0.2">
      <c r="A15" s="33">
        <v>105</v>
      </c>
      <c r="B15" s="32" t="s">
        <v>63</v>
      </c>
      <c r="C15" s="32"/>
      <c r="D15" s="234">
        <v>0</v>
      </c>
      <c r="E15" s="204"/>
      <c r="F15" s="234">
        <v>0</v>
      </c>
      <c r="G15" s="235"/>
      <c r="H15" s="234">
        <v>0</v>
      </c>
      <c r="I15" s="234"/>
      <c r="J15" s="234">
        <v>0</v>
      </c>
      <c r="K15" s="234"/>
      <c r="L15" s="234">
        <v>0</v>
      </c>
      <c r="M15" s="235"/>
      <c r="N15" s="235">
        <f t="shared" si="0"/>
        <v>0</v>
      </c>
    </row>
    <row r="16" spans="1:14" ht="11.85" customHeight="1" x14ac:dyDescent="0.2">
      <c r="A16" s="33">
        <v>105</v>
      </c>
      <c r="B16" s="32" t="s">
        <v>64</v>
      </c>
      <c r="C16" s="32"/>
      <c r="D16" s="234">
        <v>0</v>
      </c>
      <c r="E16" s="204"/>
      <c r="F16" s="234">
        <v>0</v>
      </c>
      <c r="G16" s="235"/>
      <c r="H16" s="234">
        <v>0</v>
      </c>
      <c r="I16" s="234"/>
      <c r="J16" s="234">
        <v>0</v>
      </c>
      <c r="K16" s="234"/>
      <c r="L16" s="234">
        <v>0</v>
      </c>
      <c r="M16" s="235"/>
      <c r="N16" s="235">
        <f t="shared" si="0"/>
        <v>0</v>
      </c>
    </row>
    <row r="17" spans="1:16" ht="11.85" customHeight="1" x14ac:dyDescent="0.2">
      <c r="A17" s="33">
        <v>110</v>
      </c>
      <c r="B17" s="32" t="s">
        <v>65</v>
      </c>
      <c r="C17" s="32"/>
      <c r="D17" s="234">
        <v>0</v>
      </c>
      <c r="E17" s="204"/>
      <c r="F17" s="234">
        <v>0</v>
      </c>
      <c r="G17" s="235"/>
      <c r="H17" s="234">
        <v>0</v>
      </c>
      <c r="I17" s="234"/>
      <c r="J17" s="234">
        <v>0</v>
      </c>
      <c r="K17" s="234"/>
      <c r="L17" s="234">
        <v>0</v>
      </c>
      <c r="M17" s="235"/>
      <c r="N17" s="235">
        <f t="shared" si="0"/>
        <v>0</v>
      </c>
    </row>
    <row r="18" spans="1:16" ht="11.85" customHeight="1" x14ac:dyDescent="0.2">
      <c r="A18" s="33">
        <v>110</v>
      </c>
      <c r="B18" s="32" t="s">
        <v>66</v>
      </c>
      <c r="C18" s="32"/>
      <c r="D18" s="234">
        <v>0</v>
      </c>
      <c r="E18" s="204"/>
      <c r="F18" s="234">
        <v>0</v>
      </c>
      <c r="G18" s="235"/>
      <c r="H18" s="234">
        <v>0</v>
      </c>
      <c r="I18" s="234"/>
      <c r="J18" s="234">
        <v>0</v>
      </c>
      <c r="K18" s="234"/>
      <c r="L18" s="234">
        <v>0</v>
      </c>
      <c r="M18" s="235"/>
      <c r="N18" s="235">
        <f t="shared" si="0"/>
        <v>0</v>
      </c>
      <c r="O18" s="73"/>
    </row>
    <row r="19" spans="1:16" ht="13.5" customHeight="1" x14ac:dyDescent="0.2">
      <c r="A19" s="33">
        <v>112</v>
      </c>
      <c r="B19" s="32" t="s">
        <v>67</v>
      </c>
      <c r="C19" s="32"/>
      <c r="D19" s="234">
        <v>0</v>
      </c>
      <c r="E19" s="204"/>
      <c r="F19" s="234">
        <v>0</v>
      </c>
      <c r="G19" s="235"/>
      <c r="H19" s="234">
        <v>0</v>
      </c>
      <c r="I19" s="234"/>
      <c r="J19" s="234">
        <v>0</v>
      </c>
      <c r="K19" s="234"/>
      <c r="L19" s="234">
        <v>0</v>
      </c>
      <c r="M19" s="235"/>
      <c r="N19" s="235">
        <f t="shared" si="0"/>
        <v>0</v>
      </c>
      <c r="O19" s="449" t="b">
        <v>0</v>
      </c>
      <c r="P19" s="448" t="s">
        <v>764</v>
      </c>
    </row>
    <row r="20" spans="1:16" ht="11.85" customHeight="1" x14ac:dyDescent="0.2">
      <c r="A20" s="33">
        <v>115</v>
      </c>
      <c r="B20" s="32" t="s">
        <v>68</v>
      </c>
      <c r="C20" s="32"/>
      <c r="D20" s="234">
        <v>0</v>
      </c>
      <c r="E20" s="204"/>
      <c r="F20" s="234">
        <v>0</v>
      </c>
      <c r="G20" s="235"/>
      <c r="H20" s="234">
        <v>0</v>
      </c>
      <c r="I20" s="234"/>
      <c r="J20" s="234">
        <v>0</v>
      </c>
      <c r="K20" s="234"/>
      <c r="L20" s="234">
        <v>0</v>
      </c>
      <c r="M20" s="235"/>
      <c r="N20" s="235">
        <f t="shared" si="0"/>
        <v>0</v>
      </c>
      <c r="O20" s="73"/>
    </row>
    <row r="21" spans="1:16" ht="11.85" customHeight="1" x14ac:dyDescent="0.2">
      <c r="A21" s="33">
        <v>120</v>
      </c>
      <c r="B21" s="32" t="s">
        <v>69</v>
      </c>
      <c r="C21" s="32"/>
      <c r="D21" s="234">
        <v>0</v>
      </c>
      <c r="E21" s="204"/>
      <c r="F21" s="234">
        <v>0</v>
      </c>
      <c r="G21" s="235"/>
      <c r="H21" s="234">
        <v>0</v>
      </c>
      <c r="I21" s="234"/>
      <c r="J21" s="234">
        <v>0</v>
      </c>
      <c r="K21" s="234"/>
      <c r="L21" s="234">
        <v>0</v>
      </c>
      <c r="M21" s="235"/>
      <c r="N21" s="235">
        <f t="shared" si="0"/>
        <v>0</v>
      </c>
    </row>
    <row r="22" spans="1:16" ht="11.85" customHeight="1" x14ac:dyDescent="0.2">
      <c r="A22" s="33">
        <v>125</v>
      </c>
      <c r="B22" s="32" t="s">
        <v>70</v>
      </c>
      <c r="C22" s="32"/>
      <c r="D22" s="234">
        <v>0</v>
      </c>
      <c r="E22" s="204"/>
      <c r="F22" s="234">
        <v>0</v>
      </c>
      <c r="G22" s="235"/>
      <c r="H22" s="234">
        <v>0</v>
      </c>
      <c r="I22" s="234"/>
      <c r="J22" s="234">
        <v>0</v>
      </c>
      <c r="K22" s="234"/>
      <c r="L22" s="234">
        <v>0</v>
      </c>
      <c r="M22" s="235"/>
      <c r="N22" s="235">
        <f t="shared" si="0"/>
        <v>0</v>
      </c>
    </row>
    <row r="23" spans="1:16" ht="11.85" customHeight="1" x14ac:dyDescent="0.2">
      <c r="A23" s="447">
        <v>126</v>
      </c>
      <c r="B23" s="335" t="s">
        <v>71</v>
      </c>
      <c r="C23" s="32"/>
      <c r="D23" s="234">
        <v>0</v>
      </c>
      <c r="E23" s="204"/>
      <c r="F23" s="234">
        <v>0</v>
      </c>
      <c r="G23" s="235"/>
      <c r="H23" s="234">
        <v>0</v>
      </c>
      <c r="I23" s="234"/>
      <c r="J23" s="234">
        <v>0</v>
      </c>
      <c r="K23" s="234"/>
      <c r="L23" s="234">
        <v>0</v>
      </c>
      <c r="M23" s="235"/>
      <c r="N23" s="235">
        <f t="shared" ref="N23" si="1">D23+F23+H23+J23+L23</f>
        <v>0</v>
      </c>
    </row>
    <row r="24" spans="1:16" ht="11.85" customHeight="1" x14ac:dyDescent="0.2">
      <c r="A24" s="33">
        <v>128</v>
      </c>
      <c r="B24" s="32" t="s">
        <v>72</v>
      </c>
      <c r="C24" s="32"/>
      <c r="D24" s="234">
        <v>0</v>
      </c>
      <c r="E24" s="204"/>
      <c r="F24" s="234">
        <v>0</v>
      </c>
      <c r="G24" s="235"/>
      <c r="H24" s="234">
        <v>0</v>
      </c>
      <c r="I24" s="234"/>
      <c r="J24" s="234">
        <v>0</v>
      </c>
      <c r="K24" s="234"/>
      <c r="L24" s="234">
        <v>0</v>
      </c>
      <c r="M24" s="235"/>
      <c r="N24" s="235">
        <f t="shared" si="0"/>
        <v>0</v>
      </c>
    </row>
    <row r="25" spans="1:16" ht="11.85" customHeight="1" x14ac:dyDescent="0.2">
      <c r="A25" s="33">
        <v>120</v>
      </c>
      <c r="B25" s="32" t="s">
        <v>73</v>
      </c>
      <c r="C25" s="32"/>
      <c r="D25" s="234">
        <v>0</v>
      </c>
      <c r="E25" s="204"/>
      <c r="F25" s="234">
        <v>0</v>
      </c>
      <c r="G25" s="234">
        <v>0</v>
      </c>
      <c r="H25" s="234">
        <v>0</v>
      </c>
      <c r="I25" s="234"/>
      <c r="J25" s="234">
        <v>0</v>
      </c>
      <c r="K25" s="234"/>
      <c r="L25" s="234">
        <v>0</v>
      </c>
      <c r="M25" s="235"/>
      <c r="N25" s="235">
        <f t="shared" si="0"/>
        <v>0</v>
      </c>
    </row>
    <row r="26" spans="1:16" ht="11.85" customHeight="1" x14ac:dyDescent="0.2">
      <c r="A26" s="33">
        <v>105</v>
      </c>
      <c r="B26" s="32" t="s">
        <v>74</v>
      </c>
      <c r="C26" s="32"/>
      <c r="D26" s="234">
        <v>0</v>
      </c>
      <c r="E26" s="204"/>
      <c r="F26" s="234">
        <v>0</v>
      </c>
      <c r="G26" s="235"/>
      <c r="H26" s="234">
        <v>0</v>
      </c>
      <c r="I26" s="234"/>
      <c r="J26" s="234">
        <v>0</v>
      </c>
      <c r="K26" s="234"/>
      <c r="L26" s="234">
        <v>0</v>
      </c>
      <c r="M26" s="235"/>
      <c r="N26" s="235">
        <f t="shared" si="0"/>
        <v>0</v>
      </c>
    </row>
    <row r="27" spans="1:16" ht="11.85" customHeight="1" x14ac:dyDescent="0.2">
      <c r="A27" s="34" t="s">
        <v>57</v>
      </c>
      <c r="B27" s="32" t="s">
        <v>75</v>
      </c>
      <c r="C27" s="32"/>
      <c r="D27" s="234">
        <v>0</v>
      </c>
      <c r="E27" s="204"/>
      <c r="F27" s="234">
        <v>0</v>
      </c>
      <c r="G27" s="235"/>
      <c r="H27" s="234">
        <v>0</v>
      </c>
      <c r="I27" s="234"/>
      <c r="J27" s="236">
        <v>0</v>
      </c>
      <c r="K27" s="234"/>
      <c r="L27" s="236">
        <v>0</v>
      </c>
      <c r="M27" s="235"/>
      <c r="N27" s="237">
        <f t="shared" si="0"/>
        <v>0</v>
      </c>
    </row>
    <row r="28" spans="1:16" ht="12.95" customHeight="1" x14ac:dyDescent="0.2">
      <c r="A28" s="32"/>
      <c r="B28" s="238" t="s">
        <v>76</v>
      </c>
      <c r="C28" s="32"/>
      <c r="D28" s="239">
        <f>SUM(D9:D27)</f>
        <v>0</v>
      </c>
      <c r="E28" s="32"/>
      <c r="F28" s="239">
        <f>SUM(F9:F27)</f>
        <v>0</v>
      </c>
      <c r="G28" s="235"/>
      <c r="H28" s="239">
        <f>SUM(H9:H27)</f>
        <v>0</v>
      </c>
      <c r="I28" s="235"/>
      <c r="J28" s="239">
        <f>SUM(J9:J27)</f>
        <v>0</v>
      </c>
      <c r="K28" s="235"/>
      <c r="L28" s="239">
        <f>SUM(L9:L27)</f>
        <v>0</v>
      </c>
      <c r="M28" s="235"/>
      <c r="N28" s="239">
        <f t="shared" si="0"/>
        <v>0</v>
      </c>
    </row>
    <row r="29" spans="1:16" ht="3.95" customHeight="1" x14ac:dyDescent="0.2">
      <c r="A29" s="32"/>
      <c r="B29" s="238"/>
      <c r="C29" s="32"/>
      <c r="D29" s="235"/>
      <c r="E29" s="32"/>
      <c r="F29" s="235"/>
      <c r="G29" s="235"/>
      <c r="H29" s="235"/>
      <c r="I29" s="235"/>
      <c r="J29" s="235"/>
      <c r="K29" s="235"/>
      <c r="L29" s="235"/>
      <c r="M29" s="235"/>
      <c r="N29" s="235"/>
    </row>
    <row r="30" spans="1:16" x14ac:dyDescent="0.2">
      <c r="A30" s="32"/>
      <c r="B30" s="136" t="s">
        <v>77</v>
      </c>
      <c r="C30" s="32"/>
      <c r="D30" s="32"/>
      <c r="E30" s="32"/>
      <c r="F30" s="32"/>
      <c r="G30" s="32"/>
      <c r="H30" s="32"/>
      <c r="I30" s="32"/>
      <c r="J30" s="32"/>
      <c r="K30" s="32"/>
      <c r="L30" s="32"/>
      <c r="M30" s="32"/>
      <c r="N30" s="32"/>
    </row>
    <row r="31" spans="1:16" ht="11.85" customHeight="1" x14ac:dyDescent="0.2">
      <c r="A31" s="33">
        <v>200</v>
      </c>
      <c r="B31" s="32" t="s">
        <v>78</v>
      </c>
      <c r="C31" s="32"/>
      <c r="D31" s="234">
        <v>0</v>
      </c>
      <c r="E31" s="327"/>
      <c r="F31" s="234">
        <v>0</v>
      </c>
      <c r="G31" s="235"/>
      <c r="H31" s="234">
        <v>0</v>
      </c>
      <c r="I31" s="234"/>
      <c r="J31" s="234">
        <v>0</v>
      </c>
      <c r="K31" s="234"/>
      <c r="L31" s="234">
        <v>0</v>
      </c>
      <c r="M31" s="235"/>
      <c r="N31" s="235">
        <f t="shared" ref="N31:N46" si="2">D31+F31+H31+J31+L31</f>
        <v>0</v>
      </c>
    </row>
    <row r="32" spans="1:16" ht="11.85" customHeight="1" x14ac:dyDescent="0.2">
      <c r="A32" s="447">
        <v>201</v>
      </c>
      <c r="B32" s="335" t="s">
        <v>774</v>
      </c>
      <c r="C32" s="32"/>
      <c r="D32" s="234">
        <v>0</v>
      </c>
      <c r="E32" s="327"/>
      <c r="F32" s="234">
        <v>0</v>
      </c>
      <c r="G32" s="235"/>
      <c r="H32" s="234">
        <v>0</v>
      </c>
      <c r="I32" s="234"/>
      <c r="J32" s="234">
        <v>0</v>
      </c>
      <c r="K32" s="234"/>
      <c r="L32" s="234">
        <v>0</v>
      </c>
      <c r="M32" s="235"/>
      <c r="N32" s="235">
        <f t="shared" si="2"/>
        <v>0</v>
      </c>
    </row>
    <row r="33" spans="1:16" ht="12.75" customHeight="1" x14ac:dyDescent="0.2">
      <c r="A33" s="33">
        <v>202</v>
      </c>
      <c r="B33" s="32" t="s">
        <v>79</v>
      </c>
      <c r="C33" s="32"/>
      <c r="D33" s="234">
        <v>0</v>
      </c>
      <c r="E33" s="327"/>
      <c r="F33" s="234">
        <v>0</v>
      </c>
      <c r="G33" s="235"/>
      <c r="H33" s="234">
        <v>0</v>
      </c>
      <c r="I33" s="234"/>
      <c r="J33" s="234">
        <v>0</v>
      </c>
      <c r="K33" s="234"/>
      <c r="L33" s="234">
        <v>0</v>
      </c>
      <c r="M33" s="235"/>
      <c r="N33" s="235">
        <f t="shared" si="2"/>
        <v>0</v>
      </c>
      <c r="O33" s="449" t="b">
        <v>0</v>
      </c>
      <c r="P33" s="448" t="s">
        <v>765</v>
      </c>
    </row>
    <row r="34" spans="1:16" ht="11.85" customHeight="1" x14ac:dyDescent="0.2">
      <c r="A34" s="33">
        <v>203</v>
      </c>
      <c r="B34" s="32" t="s">
        <v>80</v>
      </c>
      <c r="C34" s="32"/>
      <c r="D34" s="234">
        <v>0</v>
      </c>
      <c r="E34" s="327"/>
      <c r="F34" s="234">
        <v>0</v>
      </c>
      <c r="G34" s="235"/>
      <c r="H34" s="234">
        <v>0</v>
      </c>
      <c r="I34" s="234"/>
      <c r="J34" s="234">
        <v>0</v>
      </c>
      <c r="K34" s="234"/>
      <c r="L34" s="234">
        <v>0</v>
      </c>
      <c r="M34" s="235"/>
      <c r="N34" s="235">
        <f t="shared" si="2"/>
        <v>0</v>
      </c>
    </row>
    <row r="35" spans="1:16" ht="11.85" customHeight="1" x14ac:dyDescent="0.2">
      <c r="A35" s="33">
        <v>205</v>
      </c>
      <c r="B35" s="32" t="s">
        <v>81</v>
      </c>
      <c r="C35" s="32"/>
      <c r="D35" s="234">
        <v>0</v>
      </c>
      <c r="E35" s="327"/>
      <c r="F35" s="234">
        <v>0</v>
      </c>
      <c r="G35" s="235"/>
      <c r="H35" s="234">
        <v>0</v>
      </c>
      <c r="I35" s="234"/>
      <c r="J35" s="234">
        <v>0</v>
      </c>
      <c r="K35" s="234"/>
      <c r="L35" s="234">
        <v>0</v>
      </c>
      <c r="M35" s="235"/>
      <c r="N35" s="235">
        <f>D35+F35+H35+J35+L35</f>
        <v>0</v>
      </c>
    </row>
    <row r="36" spans="1:16" ht="11.85" customHeight="1" x14ac:dyDescent="0.2">
      <c r="A36" s="33">
        <v>210</v>
      </c>
      <c r="B36" s="32" t="s">
        <v>82</v>
      </c>
      <c r="C36" s="32"/>
      <c r="D36" s="234">
        <v>0</v>
      </c>
      <c r="E36" s="327"/>
      <c r="F36" s="234">
        <v>0</v>
      </c>
      <c r="G36" s="235"/>
      <c r="H36" s="234">
        <v>0</v>
      </c>
      <c r="I36" s="234"/>
      <c r="J36" s="234">
        <v>0</v>
      </c>
      <c r="K36" s="234"/>
      <c r="L36" s="234">
        <v>0</v>
      </c>
      <c r="M36" s="235"/>
      <c r="N36" s="235">
        <f t="shared" si="2"/>
        <v>0</v>
      </c>
    </row>
    <row r="37" spans="1:16" ht="11.85" customHeight="1" x14ac:dyDescent="0.2">
      <c r="A37" s="33">
        <v>215</v>
      </c>
      <c r="B37" s="32" t="s">
        <v>83</v>
      </c>
      <c r="C37" s="32"/>
      <c r="D37" s="234">
        <v>0</v>
      </c>
      <c r="E37" s="327"/>
      <c r="F37" s="234">
        <v>0</v>
      </c>
      <c r="G37" s="235"/>
      <c r="H37" s="234">
        <v>0</v>
      </c>
      <c r="I37" s="234"/>
      <c r="J37" s="234">
        <v>0</v>
      </c>
      <c r="K37" s="234"/>
      <c r="L37" s="234">
        <v>0</v>
      </c>
      <c r="M37" s="235"/>
      <c r="N37" s="235">
        <f t="shared" si="2"/>
        <v>0</v>
      </c>
    </row>
    <row r="38" spans="1:16" ht="11.85" customHeight="1" x14ac:dyDescent="0.2">
      <c r="A38" s="33">
        <v>220</v>
      </c>
      <c r="B38" s="32" t="s">
        <v>84</v>
      </c>
      <c r="C38" s="32"/>
      <c r="D38" s="234">
        <v>0</v>
      </c>
      <c r="E38" s="327"/>
      <c r="F38" s="234">
        <v>0</v>
      </c>
      <c r="G38" s="235"/>
      <c r="H38" s="234">
        <v>0</v>
      </c>
      <c r="I38" s="234"/>
      <c r="J38" s="234">
        <v>0</v>
      </c>
      <c r="K38" s="234"/>
      <c r="L38" s="234">
        <v>0</v>
      </c>
      <c r="M38" s="235"/>
      <c r="N38" s="235">
        <f t="shared" si="2"/>
        <v>0</v>
      </c>
    </row>
    <row r="39" spans="1:16" ht="11.85" customHeight="1" x14ac:dyDescent="0.2">
      <c r="A39" s="33">
        <v>200</v>
      </c>
      <c r="B39" s="32" t="s">
        <v>85</v>
      </c>
      <c r="C39" s="32"/>
      <c r="D39" s="234">
        <v>0</v>
      </c>
      <c r="E39" s="327"/>
      <c r="F39" s="234">
        <v>0</v>
      </c>
      <c r="G39" s="235"/>
      <c r="H39" s="234">
        <v>0</v>
      </c>
      <c r="I39" s="234"/>
      <c r="J39" s="234">
        <v>0</v>
      </c>
      <c r="K39" s="234"/>
      <c r="L39" s="234">
        <v>0</v>
      </c>
      <c r="M39" s="235"/>
      <c r="N39" s="235">
        <f t="shared" si="2"/>
        <v>0</v>
      </c>
    </row>
    <row r="40" spans="1:16" ht="11.85" customHeight="1" x14ac:dyDescent="0.2">
      <c r="A40" s="34" t="s">
        <v>57</v>
      </c>
      <c r="B40" s="32" t="s">
        <v>86</v>
      </c>
      <c r="C40" s="32"/>
      <c r="D40" s="234">
        <v>0</v>
      </c>
      <c r="E40" s="327"/>
      <c r="F40" s="234">
        <v>0</v>
      </c>
      <c r="G40" s="235"/>
      <c r="H40" s="234">
        <v>0</v>
      </c>
      <c r="I40" s="234"/>
      <c r="J40" s="234">
        <v>0</v>
      </c>
      <c r="K40" s="234"/>
      <c r="L40" s="234">
        <v>0</v>
      </c>
      <c r="M40" s="235"/>
      <c r="N40" s="235">
        <f t="shared" si="2"/>
        <v>0</v>
      </c>
    </row>
    <row r="41" spans="1:16" ht="11.85" customHeight="1" x14ac:dyDescent="0.2">
      <c r="A41" s="34" t="s">
        <v>57</v>
      </c>
      <c r="B41" s="32" t="s">
        <v>87</v>
      </c>
      <c r="C41" s="32"/>
      <c r="D41" s="234">
        <v>0</v>
      </c>
      <c r="E41" s="327"/>
      <c r="F41" s="234">
        <v>0</v>
      </c>
      <c r="G41" s="235"/>
      <c r="H41" s="234">
        <v>0</v>
      </c>
      <c r="I41" s="234"/>
      <c r="J41" s="234">
        <v>0</v>
      </c>
      <c r="K41" s="234"/>
      <c r="L41" s="234">
        <v>0</v>
      </c>
      <c r="M41" s="235"/>
      <c r="N41" s="235">
        <f t="shared" si="2"/>
        <v>0</v>
      </c>
    </row>
    <row r="42" spans="1:16" ht="11.85" customHeight="1" x14ac:dyDescent="0.2">
      <c r="A42" s="34" t="s">
        <v>57</v>
      </c>
      <c r="B42" s="32" t="s">
        <v>88</v>
      </c>
      <c r="C42" s="32"/>
      <c r="D42" s="234">
        <v>0</v>
      </c>
      <c r="E42" s="327"/>
      <c r="F42" s="234">
        <v>0</v>
      </c>
      <c r="G42" s="235"/>
      <c r="H42" s="234">
        <v>0</v>
      </c>
      <c r="I42" s="234"/>
      <c r="J42" s="234">
        <v>0</v>
      </c>
      <c r="K42" s="234"/>
      <c r="L42" s="234">
        <v>0</v>
      </c>
      <c r="M42" s="235"/>
      <c r="N42" s="235">
        <f t="shared" si="2"/>
        <v>0</v>
      </c>
    </row>
    <row r="43" spans="1:16" ht="11.85" customHeight="1" x14ac:dyDescent="0.2">
      <c r="A43" s="34" t="s">
        <v>57</v>
      </c>
      <c r="B43" s="32" t="s">
        <v>89</v>
      </c>
      <c r="C43" s="32"/>
      <c r="D43" s="234">
        <v>0</v>
      </c>
      <c r="E43" s="327"/>
      <c r="F43" s="234">
        <v>0</v>
      </c>
      <c r="G43" s="235"/>
      <c r="H43" s="234">
        <v>0</v>
      </c>
      <c r="I43" s="234"/>
      <c r="J43" s="234">
        <v>0</v>
      </c>
      <c r="K43" s="234"/>
      <c r="L43" s="234">
        <v>0</v>
      </c>
      <c r="M43" s="235"/>
      <c r="N43" s="235">
        <f t="shared" ref="N43" si="3">D43+F43+H43+J43+L43</f>
        <v>0</v>
      </c>
      <c r="P43" s="141"/>
    </row>
    <row r="44" spans="1:16" ht="11.85" customHeight="1" x14ac:dyDescent="0.2">
      <c r="A44" s="34" t="s">
        <v>57</v>
      </c>
      <c r="B44" s="32" t="s">
        <v>90</v>
      </c>
      <c r="C44" s="32"/>
      <c r="D44" s="234">
        <v>0</v>
      </c>
      <c r="E44" s="327"/>
      <c r="F44" s="234">
        <v>0</v>
      </c>
      <c r="G44" s="235"/>
      <c r="H44" s="234">
        <v>0</v>
      </c>
      <c r="I44" s="234"/>
      <c r="J44" s="234">
        <v>0</v>
      </c>
      <c r="K44" s="234"/>
      <c r="L44" s="234">
        <v>0</v>
      </c>
      <c r="M44" s="235"/>
      <c r="N44" s="235">
        <f t="shared" si="2"/>
        <v>0</v>
      </c>
      <c r="P44" s="141"/>
    </row>
    <row r="45" spans="1:16" ht="11.85" customHeight="1" x14ac:dyDescent="0.2">
      <c r="A45" s="34" t="s">
        <v>57</v>
      </c>
      <c r="B45" s="32" t="s">
        <v>91</v>
      </c>
      <c r="C45" s="32"/>
      <c r="D45" s="234">
        <v>0</v>
      </c>
      <c r="E45" s="327"/>
      <c r="F45" s="234">
        <v>0</v>
      </c>
      <c r="G45" s="235"/>
      <c r="H45" s="234">
        <v>0</v>
      </c>
      <c r="I45" s="234"/>
      <c r="J45" s="236">
        <v>0</v>
      </c>
      <c r="K45" s="234"/>
      <c r="L45" s="236">
        <v>0</v>
      </c>
      <c r="M45" s="235"/>
      <c r="N45" s="237">
        <f t="shared" si="2"/>
        <v>0</v>
      </c>
    </row>
    <row r="46" spans="1:16" ht="12.95" customHeight="1" x14ac:dyDescent="0.2">
      <c r="A46" s="32"/>
      <c r="B46" s="238" t="s">
        <v>92</v>
      </c>
      <c r="C46" s="32"/>
      <c r="D46" s="239">
        <f>SUM(D31:D45)</f>
        <v>0</v>
      </c>
      <c r="E46" s="32"/>
      <c r="F46" s="239">
        <f>SUM(F31:F45)</f>
        <v>0</v>
      </c>
      <c r="G46" s="235"/>
      <c r="H46" s="239">
        <f>SUM(H31:H45)</f>
        <v>0</v>
      </c>
      <c r="I46" s="235"/>
      <c r="J46" s="239">
        <f>SUM(J31:J45)</f>
        <v>0</v>
      </c>
      <c r="K46" s="235"/>
      <c r="L46" s="239">
        <f>SUM(L31:L45)</f>
        <v>0</v>
      </c>
      <c r="M46" s="235"/>
      <c r="N46" s="239">
        <f t="shared" si="2"/>
        <v>0</v>
      </c>
    </row>
    <row r="47" spans="1:16" ht="3.95" customHeight="1" x14ac:dyDescent="0.2">
      <c r="A47" s="32"/>
      <c r="B47" s="238"/>
      <c r="C47" s="32"/>
      <c r="D47" s="235"/>
      <c r="E47" s="32"/>
      <c r="F47" s="235"/>
      <c r="G47" s="235"/>
      <c r="H47" s="235"/>
      <c r="I47" s="235"/>
      <c r="J47" s="235"/>
      <c r="K47" s="235"/>
      <c r="L47" s="235"/>
      <c r="M47" s="235"/>
      <c r="N47" s="235"/>
    </row>
    <row r="48" spans="1:16" x14ac:dyDescent="0.2">
      <c r="A48" s="32"/>
      <c r="B48" s="136" t="s">
        <v>93</v>
      </c>
      <c r="C48" s="32"/>
      <c r="D48" s="32"/>
      <c r="E48" s="32"/>
      <c r="F48" s="32"/>
      <c r="G48" s="32"/>
      <c r="H48" s="32"/>
      <c r="I48" s="32"/>
      <c r="J48" s="32"/>
      <c r="K48" s="32"/>
      <c r="L48" s="32"/>
      <c r="M48" s="32"/>
      <c r="N48" s="32"/>
    </row>
    <row r="49" spans="1:15" ht="11.85" customHeight="1" x14ac:dyDescent="0.2">
      <c r="A49" s="32"/>
      <c r="B49" s="32" t="s">
        <v>94</v>
      </c>
      <c r="C49" s="32"/>
      <c r="D49" s="234">
        <v>0</v>
      </c>
      <c r="E49" s="327"/>
      <c r="F49" s="234">
        <v>0</v>
      </c>
      <c r="G49" s="235"/>
      <c r="H49" s="234">
        <v>0</v>
      </c>
      <c r="I49" s="234"/>
      <c r="J49" s="234">
        <v>0</v>
      </c>
      <c r="K49" s="234"/>
      <c r="L49" s="234">
        <v>0</v>
      </c>
      <c r="M49" s="235"/>
      <c r="N49" s="235">
        <f>D49+F49+H49+J49+L49</f>
        <v>0</v>
      </c>
      <c r="O49" s="149"/>
    </row>
    <row r="50" spans="1:15" ht="11.85" customHeight="1" x14ac:dyDescent="0.2">
      <c r="A50" s="32"/>
      <c r="B50" s="32" t="s">
        <v>95</v>
      </c>
      <c r="C50" s="32"/>
      <c r="D50" s="236">
        <v>0</v>
      </c>
      <c r="E50" s="327"/>
      <c r="F50" s="236">
        <v>0</v>
      </c>
      <c r="G50" s="235"/>
      <c r="H50" s="236">
        <v>0</v>
      </c>
      <c r="I50" s="234"/>
      <c r="J50" s="236">
        <v>0</v>
      </c>
      <c r="K50" s="234"/>
      <c r="L50" s="236">
        <v>0</v>
      </c>
      <c r="M50" s="235"/>
      <c r="N50" s="235">
        <f>D50+F50+H50+J50+L50</f>
        <v>0</v>
      </c>
      <c r="O50" s="149"/>
    </row>
    <row r="51" spans="1:15" ht="13.7" customHeight="1" thickBot="1" x14ac:dyDescent="0.25">
      <c r="A51" s="32"/>
      <c r="B51" s="238" t="s">
        <v>96</v>
      </c>
      <c r="C51" s="32"/>
      <c r="D51" s="240">
        <f>SUM(D49:D50)</f>
        <v>0</v>
      </c>
      <c r="E51" s="32"/>
      <c r="F51" s="240">
        <f>SUM(F49:F50)</f>
        <v>0</v>
      </c>
      <c r="G51" s="233"/>
      <c r="H51" s="240">
        <f>SUM(H49:H50)</f>
        <v>0</v>
      </c>
      <c r="I51" s="233"/>
      <c r="J51" s="240">
        <f>SUM(J49:J50)</f>
        <v>0</v>
      </c>
      <c r="K51" s="233"/>
      <c r="L51" s="240">
        <f>SUM(L49:L50)</f>
        <v>0</v>
      </c>
      <c r="M51" s="233"/>
      <c r="N51" s="240">
        <f>D51+F51+H51+J51+L51</f>
        <v>0</v>
      </c>
    </row>
    <row r="52" spans="1:15" ht="6" customHeight="1" thickTop="1" x14ac:dyDescent="0.2">
      <c r="A52" s="32"/>
      <c r="B52" s="32"/>
      <c r="C52" s="32"/>
      <c r="D52" s="32"/>
      <c r="E52" s="32"/>
      <c r="F52" s="32"/>
      <c r="G52" s="32"/>
      <c r="H52" s="32"/>
      <c r="I52" s="32"/>
      <c r="J52" s="32"/>
      <c r="K52" s="32"/>
      <c r="L52" s="32"/>
      <c r="M52" s="32"/>
      <c r="N52" s="32"/>
    </row>
    <row r="53" spans="1:15" x14ac:dyDescent="0.2">
      <c r="A53" s="32"/>
      <c r="B53" s="69" t="s">
        <v>97</v>
      </c>
      <c r="C53" s="32"/>
      <c r="D53" s="70" t="str">
        <f>IF(D28-D46=D51,"OK","ERROR")</f>
        <v>OK</v>
      </c>
      <c r="E53" s="32"/>
      <c r="F53" s="70" t="str">
        <f>IF(F28-F46=F51,"OK","ERROR")</f>
        <v>OK</v>
      </c>
      <c r="G53" s="32"/>
      <c r="H53" s="70" t="str">
        <f>IF(H28-H46=H51,"OK","ERROR")</f>
        <v>OK</v>
      </c>
      <c r="I53" s="32"/>
      <c r="J53" s="70" t="str">
        <f>IF(J28-J46=J51,"OK","ERROR")</f>
        <v>OK</v>
      </c>
      <c r="K53" s="32"/>
      <c r="L53" s="70" t="str">
        <f>IF(L28-L46=L51,"OK","ERROR")</f>
        <v>OK</v>
      </c>
      <c r="M53" s="32"/>
      <c r="N53" s="32"/>
    </row>
    <row r="55" spans="1:15" x14ac:dyDescent="0.2">
      <c r="A55" s="25" t="s">
        <v>98</v>
      </c>
    </row>
    <row r="57" spans="1:15" x14ac:dyDescent="0.2">
      <c r="A57" s="37" t="s">
        <v>99</v>
      </c>
      <c r="B57" s="151" t="s">
        <v>100</v>
      </c>
    </row>
    <row r="58" spans="1:15" x14ac:dyDescent="0.2">
      <c r="A58" s="27"/>
      <c r="B58" s="151" t="s">
        <v>101</v>
      </c>
    </row>
    <row r="59" spans="1:15" x14ac:dyDescent="0.2">
      <c r="A59" s="451"/>
      <c r="B59" s="151"/>
      <c r="C59" s="151"/>
      <c r="D59" s="151"/>
      <c r="E59" s="151"/>
      <c r="F59" s="151"/>
      <c r="G59" s="151"/>
      <c r="H59" s="151"/>
    </row>
    <row r="60" spans="1:15" x14ac:dyDescent="0.2">
      <c r="A60" s="241" t="s">
        <v>102</v>
      </c>
      <c r="B60" s="151" t="s">
        <v>103</v>
      </c>
      <c r="C60" s="151"/>
      <c r="D60" s="151"/>
      <c r="E60" s="151"/>
      <c r="F60" s="151"/>
      <c r="G60" s="151"/>
      <c r="H60" s="151"/>
    </row>
    <row r="61" spans="1:15" x14ac:dyDescent="0.2">
      <c r="A61" s="451"/>
      <c r="B61" s="151" t="s">
        <v>104</v>
      </c>
      <c r="C61" s="151"/>
      <c r="D61" s="151"/>
      <c r="E61" s="151"/>
      <c r="F61" s="151"/>
      <c r="G61" s="151"/>
      <c r="H61" s="151"/>
    </row>
    <row r="62" spans="1:15" x14ac:dyDescent="0.2">
      <c r="A62" s="451"/>
      <c r="B62" s="151" t="s">
        <v>105</v>
      </c>
      <c r="C62" s="151"/>
      <c r="D62" s="151"/>
      <c r="E62" s="151"/>
      <c r="F62" s="151"/>
      <c r="G62" s="151"/>
      <c r="H62" s="151"/>
    </row>
    <row r="63" spans="1:15" x14ac:dyDescent="0.2">
      <c r="A63" s="451"/>
      <c r="B63" s="151" t="s">
        <v>106</v>
      </c>
      <c r="C63" s="151"/>
      <c r="D63" s="151"/>
      <c r="E63" s="151"/>
      <c r="F63" s="151"/>
      <c r="G63" s="151"/>
      <c r="H63" s="151"/>
    </row>
    <row r="64" spans="1:15" x14ac:dyDescent="0.2">
      <c r="A64" s="451"/>
      <c r="B64" s="151" t="s">
        <v>107</v>
      </c>
      <c r="C64" s="151"/>
      <c r="D64" s="151"/>
      <c r="E64" s="151"/>
      <c r="F64" s="151"/>
      <c r="G64" s="151"/>
      <c r="H64" s="151"/>
    </row>
    <row r="65" spans="1:8" x14ac:dyDescent="0.2">
      <c r="A65" s="451"/>
      <c r="B65" s="151"/>
      <c r="C65" s="151"/>
      <c r="D65" s="151"/>
      <c r="E65" s="151"/>
      <c r="F65" s="151"/>
      <c r="G65" s="151"/>
      <c r="H65" s="151"/>
    </row>
    <row r="66" spans="1:8" x14ac:dyDescent="0.2">
      <c r="A66" s="241" t="s">
        <v>108</v>
      </c>
      <c r="B66" s="151" t="s">
        <v>109</v>
      </c>
    </row>
    <row r="67" spans="1:8" x14ac:dyDescent="0.2">
      <c r="A67" s="27"/>
      <c r="B67" s="151" t="s">
        <v>110</v>
      </c>
    </row>
    <row r="68" spans="1:8" x14ac:dyDescent="0.2">
      <c r="A68" s="27"/>
      <c r="B68" s="151"/>
    </row>
    <row r="69" spans="1:8" x14ac:dyDescent="0.2">
      <c r="A69" s="241" t="s">
        <v>111</v>
      </c>
      <c r="B69" s="151" t="s">
        <v>112</v>
      </c>
    </row>
    <row r="70" spans="1:8" x14ac:dyDescent="0.2">
      <c r="A70" s="27"/>
      <c r="B70" s="151" t="s">
        <v>113</v>
      </c>
    </row>
    <row r="71" spans="1:8" x14ac:dyDescent="0.2">
      <c r="A71" s="27"/>
      <c r="B71" s="151" t="s">
        <v>114</v>
      </c>
    </row>
    <row r="72" spans="1:8" x14ac:dyDescent="0.2">
      <c r="A72" s="27"/>
      <c r="B72" s="151"/>
    </row>
    <row r="73" spans="1:8" x14ac:dyDescent="0.2">
      <c r="A73" s="241" t="s">
        <v>115</v>
      </c>
      <c r="B73" s="151" t="s">
        <v>116</v>
      </c>
    </row>
    <row r="74" spans="1:8" x14ac:dyDescent="0.2">
      <c r="A74" s="37"/>
      <c r="B74" s="151" t="s">
        <v>117</v>
      </c>
    </row>
    <row r="75" spans="1:8" x14ac:dyDescent="0.2">
      <c r="A75" s="37"/>
      <c r="B75" s="151" t="s">
        <v>105</v>
      </c>
    </row>
    <row r="76" spans="1:8" x14ac:dyDescent="0.2">
      <c r="A76" s="37"/>
      <c r="B76" s="151" t="s">
        <v>118</v>
      </c>
    </row>
    <row r="77" spans="1:8" x14ac:dyDescent="0.2">
      <c r="A77" s="37"/>
      <c r="B77" s="151" t="s">
        <v>119</v>
      </c>
    </row>
    <row r="78" spans="1:8" x14ac:dyDescent="0.2">
      <c r="A78" s="37"/>
      <c r="B78" s="151"/>
    </row>
    <row r="79" spans="1:8" x14ac:dyDescent="0.2">
      <c r="A79" s="37" t="s">
        <v>57</v>
      </c>
      <c r="B79" s="151" t="s">
        <v>120</v>
      </c>
    </row>
  </sheetData>
  <sheetProtection algorithmName="SHA-512" hashValue="puH3wHym5IIce8CObGOtRwV79Oy7mCXReB02tC/qLGZEdBYc127iWOeN5USilY8PIxd8i23s9Ck58kSpBNauzQ==" saltValue="m39Bb2dYRNYydHwdqVY6hg==" spinCount="100000" sheet="1" formatCells="0" formatColumns="0" autoFilter="0"/>
  <mergeCells count="5">
    <mergeCell ref="H5:H7"/>
    <mergeCell ref="J5:J7"/>
    <mergeCell ref="L5:L7"/>
    <mergeCell ref="D5:D7"/>
    <mergeCell ref="F5:F7"/>
  </mergeCells>
  <phoneticPr fontId="0" type="noConversion"/>
  <conditionalFormatting sqref="D53 F53 H53 J53 L53">
    <cfRule type="cellIs" dxfId="78" priority="1" stopIfTrue="1" operator="equal">
      <formula>"ERROR"</formula>
    </cfRule>
  </conditionalFormatting>
  <dataValidations count="1">
    <dataValidation allowBlank="1" showInputMessage="1" showErrorMessage="1" prompt="Please mark your answer at column O that the balance agree to Due to foundation." sqref="D19 D33" xr:uid="{F57EC39E-A6A6-44DD-9110-76B165849907}"/>
  </dataValidations>
  <pageMargins left="0.3" right="0.3" top="0.3" bottom="0.3" header="0.5" footer="0.2"/>
  <pageSetup scale="56" orientation="landscape" r:id="rId1"/>
  <headerFooter alignWithMargins="0">
    <oddFooter>&amp;L&amp;F &amp;A&amp;C&amp;P of &amp;N&amp;R&amp;D</oddFooter>
  </headerFooter>
  <rowBreaks count="1" manualBreakCount="1">
    <brk id="53" max="16383" man="1"/>
  </rowBreaks>
  <ignoredErrors>
    <ignoredError sqref="A57" numberStoredAsText="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7"/>
  <sheetViews>
    <sheetView zoomScaleNormal="100" workbookViewId="0">
      <selection activeCell="E16" sqref="E16"/>
    </sheetView>
  </sheetViews>
  <sheetFormatPr defaultRowHeight="12.75" x14ac:dyDescent="0.2"/>
  <cols>
    <col min="1" max="1" width="3.7109375" customWidth="1"/>
    <col min="2" max="2" width="44.7109375" customWidth="1"/>
    <col min="3" max="3" width="0.42578125" customWidth="1"/>
    <col min="4" max="4" width="20.28515625" customWidth="1"/>
    <col min="5" max="5" width="0.85546875" customWidth="1"/>
    <col min="6" max="6" width="17.28515625" customWidth="1"/>
    <col min="7" max="7" width="0.85546875" customWidth="1"/>
    <col min="8" max="8" width="17" customWidth="1"/>
    <col min="9" max="9" width="0.85546875" customWidth="1"/>
    <col min="10" max="10" width="14.85546875" customWidth="1"/>
    <col min="11" max="11" width="0.85546875" customWidth="1"/>
    <col min="12" max="12" width="15.28515625" customWidth="1"/>
    <col min="13" max="13" width="0.85546875" customWidth="1"/>
    <col min="14" max="14" width="18.85546875" customWidth="1"/>
    <col min="15" max="15" width="34.5703125" customWidth="1"/>
  </cols>
  <sheetData>
    <row r="1" spans="1:14" ht="12.75" customHeight="1" x14ac:dyDescent="0.2">
      <c r="A1" s="1" t="str">
        <f>CONCATENATE(Info!D7," Foundations")</f>
        <v>UNC System Office Foundations</v>
      </c>
      <c r="N1" s="31" t="s">
        <v>121</v>
      </c>
    </row>
    <row r="2" spans="1:14" ht="12.75" customHeight="1" x14ac:dyDescent="0.2">
      <c r="A2" s="1" t="s">
        <v>122</v>
      </c>
    </row>
    <row r="3" spans="1:14" ht="12.75" customHeight="1" x14ac:dyDescent="0.2">
      <c r="A3" s="151" t="s">
        <v>123</v>
      </c>
    </row>
    <row r="4" spans="1:14" ht="12.75" customHeight="1" x14ac:dyDescent="0.2">
      <c r="A4" s="151" t="s">
        <v>785</v>
      </c>
      <c r="B4" s="5"/>
    </row>
    <row r="5" spans="1:14" ht="12.75" customHeight="1" x14ac:dyDescent="0.2">
      <c r="D5" s="557" t="str">
        <f>Info!$D$17</f>
        <v>Name of Foundation</v>
      </c>
      <c r="F5" s="557">
        <f>Info!$D$19</f>
        <v>0</v>
      </c>
      <c r="H5" s="557">
        <f>Info!$D$21</f>
        <v>0</v>
      </c>
      <c r="J5" s="557">
        <f>Info!$D$23</f>
        <v>0</v>
      </c>
      <c r="L5" s="557">
        <f>Info!$D$25</f>
        <v>0</v>
      </c>
    </row>
    <row r="6" spans="1:14" x14ac:dyDescent="0.2">
      <c r="D6" s="557"/>
      <c r="F6" s="557"/>
      <c r="G6" s="27"/>
      <c r="H6" s="557"/>
      <c r="I6" s="27"/>
      <c r="J6" s="557"/>
      <c r="K6" s="27"/>
      <c r="L6" s="557"/>
      <c r="M6" s="27"/>
      <c r="N6" s="27"/>
    </row>
    <row r="7" spans="1:14" x14ac:dyDescent="0.2">
      <c r="D7" s="558"/>
      <c r="F7" s="558"/>
      <c r="G7" s="451"/>
      <c r="H7" s="558"/>
      <c r="I7" s="451"/>
      <c r="J7" s="558"/>
      <c r="K7" s="27"/>
      <c r="L7" s="558"/>
      <c r="M7" s="451"/>
      <c r="N7" s="4" t="s">
        <v>54</v>
      </c>
    </row>
    <row r="8" spans="1:14" ht="14.25" x14ac:dyDescent="0.2">
      <c r="B8" s="1" t="s">
        <v>124</v>
      </c>
    </row>
    <row r="9" spans="1:14" x14ac:dyDescent="0.2">
      <c r="A9" s="34" t="s">
        <v>57</v>
      </c>
      <c r="B9" t="s">
        <v>125</v>
      </c>
      <c r="D9" s="49">
        <v>0</v>
      </c>
      <c r="E9" s="326"/>
      <c r="F9" s="49">
        <v>0</v>
      </c>
      <c r="G9" s="9"/>
      <c r="H9" s="49">
        <v>0</v>
      </c>
      <c r="I9" s="9"/>
      <c r="J9" s="49">
        <v>0</v>
      </c>
      <c r="K9" s="9"/>
      <c r="L9" s="49">
        <v>0</v>
      </c>
      <c r="M9" s="9"/>
      <c r="N9" s="9">
        <f>D9+F9+H9+J9+L9</f>
        <v>0</v>
      </c>
    </row>
    <row r="10" spans="1:14" x14ac:dyDescent="0.2">
      <c r="A10" s="33">
        <v>500</v>
      </c>
      <c r="B10" t="s">
        <v>126</v>
      </c>
      <c r="D10" s="50">
        <v>0</v>
      </c>
      <c r="E10" s="326"/>
      <c r="F10" s="50">
        <v>0</v>
      </c>
      <c r="G10" s="9"/>
      <c r="H10" s="50">
        <v>0</v>
      </c>
      <c r="I10" s="9"/>
      <c r="J10" s="50">
        <v>0</v>
      </c>
      <c r="K10" s="9"/>
      <c r="L10" s="50">
        <v>0</v>
      </c>
      <c r="M10" s="9"/>
      <c r="N10" s="6">
        <f>D10+F10+H10+J10+L10</f>
        <v>0</v>
      </c>
    </row>
    <row r="11" spans="1:14" x14ac:dyDescent="0.2">
      <c r="A11" s="33">
        <v>500</v>
      </c>
      <c r="B11" t="s">
        <v>127</v>
      </c>
      <c r="D11" s="50">
        <v>0</v>
      </c>
      <c r="E11" s="326"/>
      <c r="F11" s="50">
        <v>0</v>
      </c>
      <c r="G11" s="9"/>
      <c r="H11" s="50">
        <v>0</v>
      </c>
      <c r="I11" s="9"/>
      <c r="J11" s="50">
        <v>0</v>
      </c>
      <c r="K11" s="9"/>
      <c r="L11" s="50">
        <v>0</v>
      </c>
      <c r="M11" s="9"/>
      <c r="N11" s="6">
        <f>D11+F11+H11+J11+L11</f>
        <v>0</v>
      </c>
    </row>
    <row r="12" spans="1:14" x14ac:dyDescent="0.2">
      <c r="A12" s="33">
        <v>505</v>
      </c>
      <c r="B12" t="s">
        <v>128</v>
      </c>
      <c r="D12" s="50">
        <v>0</v>
      </c>
      <c r="E12" s="326"/>
      <c r="F12" s="50">
        <v>0</v>
      </c>
      <c r="G12" s="9"/>
      <c r="H12" s="50">
        <v>0</v>
      </c>
      <c r="I12" s="9"/>
      <c r="J12" s="50">
        <v>0</v>
      </c>
      <c r="K12" s="9"/>
      <c r="L12" s="50">
        <v>0</v>
      </c>
      <c r="M12" s="9"/>
      <c r="N12" s="6">
        <f>D12+F12+H12+J12+L12</f>
        <v>0</v>
      </c>
    </row>
    <row r="13" spans="1:14" x14ac:dyDescent="0.2">
      <c r="A13" s="33">
        <v>530</v>
      </c>
      <c r="B13" t="s">
        <v>129</v>
      </c>
      <c r="D13" s="50">
        <v>0</v>
      </c>
      <c r="E13" s="326"/>
      <c r="F13" s="50">
        <v>0</v>
      </c>
      <c r="G13" s="6"/>
      <c r="H13" s="50">
        <v>0</v>
      </c>
      <c r="I13" s="6"/>
      <c r="J13" s="50">
        <v>0</v>
      </c>
      <c r="K13" s="6"/>
      <c r="L13" s="50">
        <v>0</v>
      </c>
      <c r="M13" s="6"/>
      <c r="N13" s="6">
        <f>D13+F13+H13+J13+L13</f>
        <v>0</v>
      </c>
    </row>
    <row r="14" spans="1:14" x14ac:dyDescent="0.2">
      <c r="A14" s="33">
        <v>530</v>
      </c>
      <c r="B14" t="s">
        <v>130</v>
      </c>
      <c r="D14" s="50">
        <v>0</v>
      </c>
      <c r="E14" s="326"/>
      <c r="F14" s="50">
        <v>0</v>
      </c>
      <c r="G14" s="6"/>
      <c r="H14" s="50">
        <v>0</v>
      </c>
      <c r="I14" s="6"/>
      <c r="J14" s="50">
        <v>0</v>
      </c>
      <c r="K14" s="6"/>
      <c r="L14" s="50">
        <v>0</v>
      </c>
      <c r="M14" s="6"/>
      <c r="N14" s="6">
        <f t="shared" ref="N14:N19" si="0">D14+F14+H14+J14+L14</f>
        <v>0</v>
      </c>
    </row>
    <row r="15" spans="1:14" x14ac:dyDescent="0.2">
      <c r="A15" s="33">
        <v>540</v>
      </c>
      <c r="B15" t="s">
        <v>131</v>
      </c>
      <c r="D15" s="50">
        <v>0</v>
      </c>
      <c r="E15" s="326"/>
      <c r="F15" s="50">
        <v>0</v>
      </c>
      <c r="G15" s="6"/>
      <c r="H15" s="50">
        <v>0</v>
      </c>
      <c r="I15" s="6"/>
      <c r="J15" s="50">
        <v>0</v>
      </c>
      <c r="K15" s="6"/>
      <c r="L15" s="50">
        <v>0</v>
      </c>
      <c r="M15" s="6"/>
      <c r="N15" s="6">
        <f t="shared" si="0"/>
        <v>0</v>
      </c>
    </row>
    <row r="16" spans="1:14" x14ac:dyDescent="0.2">
      <c r="A16" s="33">
        <v>550</v>
      </c>
      <c r="B16" t="s">
        <v>132</v>
      </c>
      <c r="D16" s="50">
        <v>0</v>
      </c>
      <c r="E16" s="326"/>
      <c r="F16" s="50">
        <v>0</v>
      </c>
      <c r="G16" s="6"/>
      <c r="H16" s="50">
        <v>0</v>
      </c>
      <c r="I16" s="6"/>
      <c r="J16" s="50">
        <v>0</v>
      </c>
      <c r="K16" s="6"/>
      <c r="L16" s="50">
        <v>0</v>
      </c>
      <c r="M16" s="6"/>
      <c r="N16" s="6">
        <f t="shared" si="0"/>
        <v>0</v>
      </c>
    </row>
    <row r="17" spans="1:15" x14ac:dyDescent="0.2">
      <c r="A17" s="33">
        <v>555</v>
      </c>
      <c r="B17" t="s">
        <v>133</v>
      </c>
      <c r="D17" s="50">
        <v>0</v>
      </c>
      <c r="E17" s="326"/>
      <c r="F17" s="50">
        <v>0</v>
      </c>
      <c r="G17" s="6"/>
      <c r="H17" s="50">
        <v>0</v>
      </c>
      <c r="I17" s="6"/>
      <c r="J17" s="50">
        <v>0</v>
      </c>
      <c r="K17" s="6"/>
      <c r="L17" s="50">
        <v>0</v>
      </c>
      <c r="M17" s="6"/>
      <c r="N17" s="6">
        <f t="shared" si="0"/>
        <v>0</v>
      </c>
      <c r="O17" s="242" t="str">
        <f>IF(N17&lt;0,"Problem: Amount should not be negative; include loss/exp with Other expenses", " ")</f>
        <v xml:space="preserve"> </v>
      </c>
    </row>
    <row r="18" spans="1:15" x14ac:dyDescent="0.2">
      <c r="A18" s="33">
        <v>560</v>
      </c>
      <c r="B18" t="s">
        <v>134</v>
      </c>
      <c r="D18" s="50">
        <v>0</v>
      </c>
      <c r="E18" s="326"/>
      <c r="F18" s="51">
        <v>0</v>
      </c>
      <c r="G18" s="6"/>
      <c r="H18" s="51">
        <v>0</v>
      </c>
      <c r="I18" s="6"/>
      <c r="J18" s="51">
        <v>0</v>
      </c>
      <c r="K18" s="6"/>
      <c r="L18" s="51">
        <v>0</v>
      </c>
      <c r="M18" s="6"/>
      <c r="N18" s="7">
        <f t="shared" si="0"/>
        <v>0</v>
      </c>
      <c r="O18" s="242" t="str">
        <f>IF(N18&lt;0,"Problem: Amount should not be negative; include loss/exp with Other expenses", " ")</f>
        <v xml:space="preserve"> </v>
      </c>
    </row>
    <row r="19" spans="1:15" x14ac:dyDescent="0.2">
      <c r="A19" s="27"/>
      <c r="B19" s="2" t="s">
        <v>135</v>
      </c>
      <c r="D19" s="8">
        <f>SUM(D9:D18)</f>
        <v>0</v>
      </c>
      <c r="F19" s="8">
        <f>SUM(F9:F18)</f>
        <v>0</v>
      </c>
      <c r="G19" s="6"/>
      <c r="H19" s="8">
        <f>SUM(H9:H18)</f>
        <v>0</v>
      </c>
      <c r="I19" s="6"/>
      <c r="J19" s="8">
        <f>SUM(J9:J18)</f>
        <v>0</v>
      </c>
      <c r="K19" s="6"/>
      <c r="L19" s="8">
        <f>SUM(L9:L18)</f>
        <v>0</v>
      </c>
      <c r="M19" s="6"/>
      <c r="N19" s="8">
        <f t="shared" si="0"/>
        <v>0</v>
      </c>
    </row>
    <row r="20" spans="1:15" ht="9.9499999999999993" customHeight="1" x14ac:dyDescent="0.2">
      <c r="A20" s="27"/>
    </row>
    <row r="21" spans="1:15" ht="14.25" x14ac:dyDescent="0.2">
      <c r="A21" s="27"/>
      <c r="B21" s="1" t="s">
        <v>136</v>
      </c>
    </row>
    <row r="22" spans="1:15" x14ac:dyDescent="0.2">
      <c r="A22" s="33" t="s">
        <v>57</v>
      </c>
      <c r="B22" s="151" t="s">
        <v>137</v>
      </c>
      <c r="D22" s="52">
        <v>0</v>
      </c>
      <c r="E22" s="326"/>
      <c r="F22" s="52">
        <v>0</v>
      </c>
      <c r="G22" s="329"/>
      <c r="H22" s="52">
        <v>0</v>
      </c>
      <c r="I22" s="12"/>
      <c r="J22" s="52">
        <v>0</v>
      </c>
      <c r="K22" s="12"/>
      <c r="L22" s="52">
        <v>0</v>
      </c>
      <c r="M22" s="12"/>
      <c r="N22" s="6">
        <f>D22+F22+H22+J22+L22</f>
        <v>0</v>
      </c>
    </row>
    <row r="23" spans="1:15" x14ac:dyDescent="0.2">
      <c r="A23" s="33">
        <v>610</v>
      </c>
      <c r="B23" t="s">
        <v>138</v>
      </c>
      <c r="D23" s="53">
        <v>0</v>
      </c>
      <c r="E23" s="6"/>
      <c r="F23" s="53">
        <v>0</v>
      </c>
      <c r="G23" s="329"/>
      <c r="H23" s="53">
        <v>0</v>
      </c>
      <c r="I23" s="12"/>
      <c r="J23" s="53">
        <v>0</v>
      </c>
      <c r="K23" s="12"/>
      <c r="L23" s="53">
        <v>0</v>
      </c>
      <c r="M23" s="12"/>
      <c r="N23" s="7">
        <f>D23+F23+H23+J23+L23</f>
        <v>0</v>
      </c>
    </row>
    <row r="24" spans="1:15" x14ac:dyDescent="0.2">
      <c r="B24" s="2" t="s">
        <v>139</v>
      </c>
      <c r="D24" s="21">
        <f>SUM(D22:D23)</f>
        <v>0</v>
      </c>
      <c r="E24" s="6"/>
      <c r="F24" s="21">
        <f>SUM(F22:F23)</f>
        <v>0</v>
      </c>
      <c r="G24" s="12"/>
      <c r="H24" s="21">
        <f>SUM(H22:H23)</f>
        <v>0</v>
      </c>
      <c r="I24" s="12"/>
      <c r="J24" s="21">
        <f>SUM(J22:J23)</f>
        <v>0</v>
      </c>
      <c r="K24" s="12"/>
      <c r="L24" s="21">
        <f>SUM(L22:L23)</f>
        <v>0</v>
      </c>
      <c r="M24" s="12"/>
      <c r="N24" s="8">
        <f>D24+F24+H24+J24+L24</f>
        <v>0</v>
      </c>
    </row>
    <row r="25" spans="1:15" ht="9.9499999999999993" customHeight="1" x14ac:dyDescent="0.2"/>
    <row r="26" spans="1:15" x14ac:dyDescent="0.2">
      <c r="B26" t="s">
        <v>140</v>
      </c>
      <c r="D26" s="12">
        <f>D19-D24</f>
        <v>0</v>
      </c>
      <c r="F26" s="12">
        <f>F19-F24</f>
        <v>0</v>
      </c>
      <c r="G26" s="12"/>
      <c r="H26" s="12">
        <f>H19-H24</f>
        <v>0</v>
      </c>
      <c r="I26" s="12"/>
      <c r="J26" s="12">
        <f>J19-J24</f>
        <v>0</v>
      </c>
      <c r="K26" s="12"/>
      <c r="L26" s="12">
        <f>L19-L24</f>
        <v>0</v>
      </c>
      <c r="M26" s="12"/>
      <c r="N26" s="6">
        <f>D26+F26+H26+J26+L26</f>
        <v>0</v>
      </c>
    </row>
    <row r="27" spans="1:15" x14ac:dyDescent="0.2">
      <c r="D27" s="12"/>
      <c r="F27" s="12"/>
      <c r="G27" s="12"/>
      <c r="H27" s="12"/>
      <c r="I27" s="12"/>
      <c r="J27" s="12"/>
      <c r="K27" s="12"/>
      <c r="L27" s="12"/>
      <c r="M27" s="12"/>
      <c r="N27" s="6"/>
    </row>
    <row r="28" spans="1:15" x14ac:dyDescent="0.2">
      <c r="B28" t="s">
        <v>141</v>
      </c>
      <c r="D28" s="328">
        <v>0</v>
      </c>
      <c r="E28" s="326"/>
      <c r="F28" s="328">
        <v>0</v>
      </c>
      <c r="G28" s="329"/>
      <c r="H28" s="328">
        <v>0</v>
      </c>
      <c r="I28" s="12"/>
      <c r="J28" s="52"/>
      <c r="K28" s="12"/>
      <c r="L28" s="52"/>
      <c r="M28" s="12"/>
      <c r="N28" s="68">
        <f>VLOOKUP(Info!D6,'Net Assets'!A1:E100,3,FALSE)</f>
        <v>0</v>
      </c>
      <c r="O28" s="243" t="str">
        <f>IF((D28+F28+H28+J28+L28=N28),"OK","Problem - Must equal the total prior year ending per Foundation template")</f>
        <v>OK</v>
      </c>
    </row>
    <row r="29" spans="1:15" x14ac:dyDescent="0.2">
      <c r="B29" t="s">
        <v>142</v>
      </c>
      <c r="D29" s="328"/>
      <c r="F29" s="53"/>
      <c r="G29" s="12"/>
      <c r="H29" s="53">
        <v>0</v>
      </c>
      <c r="I29" s="12"/>
      <c r="J29" s="53"/>
      <c r="K29" s="12"/>
      <c r="L29" s="53"/>
      <c r="M29" s="12"/>
      <c r="N29" s="7">
        <f>D29+F29+H29+J29+L29</f>
        <v>0</v>
      </c>
      <c r="O29" s="243" t="str">
        <f>IF(N29=0,"OK",IF((D29+F29+H29+J29+L29)&lt;&gt;0,"Please complete 'Restatements' tab","OK"))</f>
        <v>OK</v>
      </c>
    </row>
    <row r="30" spans="1:15" ht="14.85" customHeight="1" thickBot="1" x14ac:dyDescent="0.25">
      <c r="B30" t="s">
        <v>143</v>
      </c>
      <c r="D30" s="11">
        <f>D26+D28+D29</f>
        <v>0</v>
      </c>
      <c r="F30" s="11">
        <f>F26+F28+F29</f>
        <v>0</v>
      </c>
      <c r="G30" s="28"/>
      <c r="H30" s="11">
        <f>H26+H28+H29</f>
        <v>0</v>
      </c>
      <c r="I30" s="28"/>
      <c r="J30" s="11">
        <f>J26+J28+J29</f>
        <v>0</v>
      </c>
      <c r="K30" s="28"/>
      <c r="L30" s="11">
        <f>L26+L28+L29</f>
        <v>0</v>
      </c>
      <c r="M30" s="28"/>
      <c r="N30" s="11">
        <f>D30+F30+H30+J30+L30</f>
        <v>0</v>
      </c>
    </row>
    <row r="31" spans="1:15" ht="9.9499999999999993" customHeight="1" thickTop="1" x14ac:dyDescent="0.2"/>
    <row r="32" spans="1:15" ht="12.75" customHeight="1" x14ac:dyDescent="0.2">
      <c r="B32" s="23" t="s">
        <v>144</v>
      </c>
      <c r="D32" s="35" t="str">
        <f>IF(D30='Exh A'!D51,"OK","ERROR")</f>
        <v>OK</v>
      </c>
      <c r="F32" s="35" t="str">
        <f>IF(F30='Exh A'!F51,"OK","ERROR")</f>
        <v>OK</v>
      </c>
      <c r="H32" s="35" t="str">
        <f>IF(H30='Exh A'!H51,"OK","ERROR")</f>
        <v>OK</v>
      </c>
      <c r="J32" s="35" t="str">
        <f>IF(J30='Exh A'!J51,"OK","ERROR")</f>
        <v>OK</v>
      </c>
      <c r="L32" s="35" t="str">
        <f>IF(L30='Exh A'!L51,"OK","ERROR")</f>
        <v>OK</v>
      </c>
    </row>
    <row r="33" spans="1:8" ht="9.9499999999999993" customHeight="1" x14ac:dyDescent="0.2"/>
    <row r="34" spans="1:8" x14ac:dyDescent="0.2">
      <c r="A34" s="25" t="s">
        <v>145</v>
      </c>
    </row>
    <row r="35" spans="1:8" ht="5.0999999999999996" customHeight="1" x14ac:dyDescent="0.2"/>
    <row r="36" spans="1:8" x14ac:dyDescent="0.2">
      <c r="A36" s="37" t="s">
        <v>99</v>
      </c>
      <c r="B36" s="151" t="s">
        <v>146</v>
      </c>
      <c r="C36" s="23"/>
      <c r="D36" s="23"/>
      <c r="E36" s="23"/>
      <c r="F36" s="23"/>
      <c r="G36" s="23"/>
      <c r="H36" s="23"/>
    </row>
    <row r="37" spans="1:8" x14ac:dyDescent="0.2">
      <c r="A37" s="27"/>
      <c r="B37" s="151" t="s">
        <v>147</v>
      </c>
      <c r="C37" s="23"/>
      <c r="D37" s="23"/>
      <c r="E37" s="23"/>
      <c r="F37" s="23"/>
      <c r="G37" s="23"/>
      <c r="H37" s="23"/>
    </row>
    <row r="38" spans="1:8" x14ac:dyDescent="0.2">
      <c r="A38" s="27"/>
      <c r="B38" s="151" t="s">
        <v>148</v>
      </c>
      <c r="C38" s="23"/>
      <c r="D38" s="23"/>
      <c r="E38" s="23"/>
      <c r="F38" s="23"/>
      <c r="G38" s="23"/>
      <c r="H38" s="23"/>
    </row>
    <row r="39" spans="1:8" ht="5.0999999999999996" customHeight="1" x14ac:dyDescent="0.2">
      <c r="A39" s="27"/>
      <c r="B39" s="151"/>
      <c r="C39" s="23"/>
      <c r="D39" s="23"/>
      <c r="E39" s="23"/>
      <c r="F39" s="23"/>
      <c r="G39" s="23"/>
      <c r="H39" s="23"/>
    </row>
    <row r="40" spans="1:8" x14ac:dyDescent="0.2">
      <c r="A40" s="37" t="s">
        <v>102</v>
      </c>
      <c r="B40" s="151" t="s">
        <v>149</v>
      </c>
    </row>
    <row r="41" spans="1:8" x14ac:dyDescent="0.2">
      <c r="A41" s="27"/>
      <c r="B41" s="151" t="s">
        <v>150</v>
      </c>
    </row>
    <row r="42" spans="1:8" ht="5.0999999999999996" customHeight="1" x14ac:dyDescent="0.2">
      <c r="A42" s="27"/>
      <c r="B42" s="151"/>
    </row>
    <row r="43" spans="1:8" x14ac:dyDescent="0.2">
      <c r="A43" s="37" t="s">
        <v>108</v>
      </c>
      <c r="B43" t="s">
        <v>151</v>
      </c>
    </row>
    <row r="44" spans="1:8" x14ac:dyDescent="0.2">
      <c r="A44" s="27"/>
      <c r="B44" t="s">
        <v>152</v>
      </c>
    </row>
    <row r="45" spans="1:8" x14ac:dyDescent="0.2">
      <c r="A45" s="27"/>
      <c r="B45" t="s">
        <v>153</v>
      </c>
    </row>
    <row r="46" spans="1:8" ht="5.0999999999999996" customHeight="1" x14ac:dyDescent="0.2">
      <c r="A46" s="27"/>
      <c r="B46" s="151"/>
    </row>
    <row r="47" spans="1:8" x14ac:dyDescent="0.2">
      <c r="A47" s="37" t="s">
        <v>57</v>
      </c>
      <c r="B47" s="151" t="s">
        <v>120</v>
      </c>
    </row>
  </sheetData>
  <sheetProtection algorithmName="SHA-512" hashValue="rrpRLWd/IMGzbWNzfKOuPo7DQy/Gsl9KcrKG9Njcp9DAsFUX4AcqbSQDdMknlORvKteytoWeHKUxI9U93xyYww==" saltValue="WuaQ+l/6eRSTJjNEzwTrAA==" spinCount="100000" sheet="1" autoFilter="0"/>
  <mergeCells count="5">
    <mergeCell ref="L5:L7"/>
    <mergeCell ref="D5:D7"/>
    <mergeCell ref="F5:F7"/>
    <mergeCell ref="H5:H7"/>
    <mergeCell ref="J5:J7"/>
  </mergeCells>
  <phoneticPr fontId="0" type="noConversion"/>
  <conditionalFormatting sqref="D32 F32 H32 J32 L32">
    <cfRule type="cellIs" dxfId="77" priority="2" stopIfTrue="1" operator="equal">
      <formula>"ERROR"</formula>
    </cfRule>
  </conditionalFormatting>
  <conditionalFormatting sqref="O29:R29">
    <cfRule type="containsText" dxfId="76" priority="1" operator="containsText" text="P">
      <formula>NOT(ISERROR(SEARCH("P",O29)))</formula>
    </cfRule>
  </conditionalFormatting>
  <dataValidations count="1">
    <dataValidation allowBlank="1" showInputMessage="1" showErrorMessage="1" promptTitle="Provide information" prompt="Please enter the detail of restatements at 'Restatements' tab." sqref="L29 H29 F29 J29" xr:uid="{31C7FE2F-065C-4223-85C7-B8744FBBA9A1}"/>
  </dataValidations>
  <pageMargins left="0.25" right="0.25" top="0.45" bottom="0.45" header="0.5" footer="0.2"/>
  <pageSetup scale="85" orientation="landscape" r:id="rId1"/>
  <headerFooter alignWithMargins="0">
    <oddFooter>&amp;L&amp;F &amp;A&amp;C&amp;P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169"/>
  <sheetViews>
    <sheetView topLeftCell="A7" zoomScaleNormal="100" workbookViewId="0">
      <selection activeCell="F21" sqref="F21"/>
    </sheetView>
  </sheetViews>
  <sheetFormatPr defaultRowHeight="12.75" x14ac:dyDescent="0.2"/>
  <cols>
    <col min="1" max="1" width="4.28515625" customWidth="1"/>
    <col min="2" max="2" width="43.140625" customWidth="1"/>
    <col min="3" max="3" width="0.7109375" customWidth="1"/>
    <col min="4" max="4" width="17.140625" customWidth="1"/>
    <col min="5" max="5" width="0.7109375" customWidth="1"/>
    <col min="6" max="6" width="16" customWidth="1"/>
    <col min="7" max="7" width="0.7109375" customWidth="1"/>
    <col min="8" max="8" width="17" customWidth="1"/>
    <col min="9" max="9" width="0.7109375" customWidth="1"/>
    <col min="10" max="10" width="17" customWidth="1"/>
    <col min="11" max="11" width="0.7109375" customWidth="1"/>
    <col min="12" max="12" width="16.140625" customWidth="1"/>
    <col min="13" max="13" width="0.7109375" customWidth="1"/>
    <col min="14" max="14" width="16.5703125" customWidth="1"/>
    <col min="15" max="15" width="4" customWidth="1"/>
    <col min="16" max="16" width="14.85546875" customWidth="1"/>
  </cols>
  <sheetData>
    <row r="1" spans="1:14" x14ac:dyDescent="0.2">
      <c r="A1" s="1" t="str">
        <f>CONCATENATE(Info!D7," Foundations")</f>
        <v>UNC System Office Foundations</v>
      </c>
      <c r="N1" s="31" t="s">
        <v>154</v>
      </c>
    </row>
    <row r="2" spans="1:14" x14ac:dyDescent="0.2">
      <c r="A2" s="1" t="s">
        <v>155</v>
      </c>
    </row>
    <row r="3" spans="1:14" x14ac:dyDescent="0.2">
      <c r="A3" s="150" t="s">
        <v>156</v>
      </c>
    </row>
    <row r="4" spans="1:14" x14ac:dyDescent="0.2">
      <c r="D4" s="557" t="str">
        <f>Info!$D$17</f>
        <v>Name of Foundation</v>
      </c>
      <c r="F4" s="557">
        <f>Info!$D$19</f>
        <v>0</v>
      </c>
      <c r="H4" s="557">
        <f>Info!$D$21</f>
        <v>0</v>
      </c>
      <c r="J4" s="557">
        <f>Info!$D$23</f>
        <v>0</v>
      </c>
      <c r="L4" s="557">
        <f>Info!$D$25</f>
        <v>0</v>
      </c>
    </row>
    <row r="5" spans="1:14" x14ac:dyDescent="0.2">
      <c r="D5" s="557"/>
      <c r="F5" s="557"/>
      <c r="G5" s="27"/>
      <c r="H5" s="557"/>
      <c r="I5" s="27"/>
      <c r="J5" s="557"/>
      <c r="K5" s="27"/>
      <c r="L5" s="557"/>
      <c r="M5" s="27"/>
      <c r="N5" s="27"/>
    </row>
    <row r="6" spans="1:14" x14ac:dyDescent="0.2">
      <c r="D6" s="558"/>
      <c r="F6" s="558"/>
      <c r="G6" s="451"/>
      <c r="H6" s="558"/>
      <c r="I6" s="451"/>
      <c r="J6" s="558"/>
      <c r="K6" s="27"/>
      <c r="L6" s="558"/>
      <c r="M6" s="451"/>
      <c r="N6" s="4" t="s">
        <v>54</v>
      </c>
    </row>
    <row r="7" spans="1:14" ht="14.25" x14ac:dyDescent="0.2">
      <c r="A7" s="561" t="s">
        <v>157</v>
      </c>
      <c r="B7" s="561"/>
      <c r="D7" s="27"/>
      <c r="F7" s="27"/>
      <c r="G7" s="451"/>
      <c r="H7" s="27"/>
      <c r="I7" s="451"/>
      <c r="J7" s="27"/>
      <c r="K7" s="27"/>
      <c r="L7" s="27"/>
      <c r="M7" s="451"/>
      <c r="N7" s="27"/>
    </row>
    <row r="8" spans="1:14" x14ac:dyDescent="0.2">
      <c r="D8" s="27"/>
      <c r="F8" s="27"/>
      <c r="G8" s="451"/>
      <c r="H8" s="27"/>
      <c r="I8" s="451"/>
      <c r="J8" s="27"/>
      <c r="K8" s="27"/>
      <c r="L8" s="27"/>
      <c r="M8" s="451"/>
      <c r="N8" s="27"/>
    </row>
    <row r="9" spans="1:14" x14ac:dyDescent="0.2">
      <c r="B9" s="1" t="s">
        <v>58</v>
      </c>
      <c r="D9" s="27"/>
      <c r="F9" s="27"/>
      <c r="G9" s="451"/>
      <c r="H9" s="27"/>
      <c r="I9" s="451"/>
      <c r="J9" s="27"/>
      <c r="K9" s="27"/>
      <c r="L9" s="27"/>
      <c r="M9" s="451"/>
      <c r="N9" s="27"/>
    </row>
    <row r="10" spans="1:14" ht="14.25" x14ac:dyDescent="0.2">
      <c r="B10" s="151" t="s">
        <v>158</v>
      </c>
      <c r="D10" s="49"/>
      <c r="E10" s="73"/>
      <c r="F10" s="49"/>
      <c r="G10" s="160"/>
      <c r="H10" s="49"/>
      <c r="I10" s="160"/>
      <c r="J10" s="49"/>
      <c r="K10" s="74"/>
      <c r="L10" s="49"/>
      <c r="M10" s="451"/>
      <c r="N10" s="9"/>
    </row>
    <row r="11" spans="1:14" x14ac:dyDescent="0.2">
      <c r="A11" s="32">
        <v>130</v>
      </c>
      <c r="B11" s="3" t="s">
        <v>159</v>
      </c>
      <c r="D11" s="49">
        <v>0</v>
      </c>
      <c r="E11" s="73"/>
      <c r="F11" s="49">
        <v>0</v>
      </c>
      <c r="G11" s="160"/>
      <c r="H11" s="49">
        <v>0</v>
      </c>
      <c r="I11" s="160"/>
      <c r="J11" s="49">
        <v>0</v>
      </c>
      <c r="K11" s="74"/>
      <c r="L11" s="49">
        <v>0</v>
      </c>
      <c r="M11" s="451"/>
      <c r="N11" s="9">
        <f>D11+F11+H11+J11+L11</f>
        <v>0</v>
      </c>
    </row>
    <row r="12" spans="1:14" x14ac:dyDescent="0.2">
      <c r="A12" s="32">
        <v>105</v>
      </c>
      <c r="B12" s="3" t="s">
        <v>160</v>
      </c>
      <c r="D12" s="50">
        <v>0</v>
      </c>
      <c r="F12" s="50">
        <v>0</v>
      </c>
      <c r="G12" s="451"/>
      <c r="H12" s="50">
        <v>0</v>
      </c>
      <c r="I12" s="451"/>
      <c r="J12" s="50">
        <v>0</v>
      </c>
      <c r="K12" s="27"/>
      <c r="L12" s="50">
        <v>0</v>
      </c>
      <c r="M12" s="451"/>
      <c r="N12" s="6">
        <f>D12+F12+H12+J12+L12</f>
        <v>0</v>
      </c>
    </row>
    <row r="13" spans="1:14" ht="14.25" x14ac:dyDescent="0.2">
      <c r="B13" s="151" t="s">
        <v>161</v>
      </c>
      <c r="D13" s="27"/>
      <c r="F13" s="27"/>
      <c r="G13" s="451"/>
      <c r="H13" s="27"/>
      <c r="I13" s="451"/>
      <c r="J13" s="27"/>
      <c r="K13" s="27"/>
      <c r="L13" s="27"/>
      <c r="M13" s="451"/>
      <c r="N13" s="27"/>
    </row>
    <row r="14" spans="1:14" x14ac:dyDescent="0.2">
      <c r="A14" s="32">
        <v>130</v>
      </c>
      <c r="B14" s="3" t="s">
        <v>159</v>
      </c>
      <c r="D14" s="50">
        <v>0</v>
      </c>
      <c r="F14" s="50">
        <v>0</v>
      </c>
      <c r="G14" s="451"/>
      <c r="H14" s="50">
        <v>0</v>
      </c>
      <c r="I14" s="451"/>
      <c r="J14" s="50">
        <v>0</v>
      </c>
      <c r="K14" s="27"/>
      <c r="L14" s="50">
        <v>0</v>
      </c>
      <c r="M14" s="451"/>
      <c r="N14" s="6">
        <f>D14+F14+H14+J14+L14</f>
        <v>0</v>
      </c>
    </row>
    <row r="15" spans="1:14" x14ac:dyDescent="0.2">
      <c r="A15" s="32">
        <v>105</v>
      </c>
      <c r="B15" s="3" t="s">
        <v>160</v>
      </c>
      <c r="D15" s="50">
        <v>0</v>
      </c>
      <c r="F15" s="50">
        <v>0</v>
      </c>
      <c r="G15" s="451"/>
      <c r="H15" s="50">
        <v>0</v>
      </c>
      <c r="I15" s="451"/>
      <c r="J15" s="50">
        <v>0</v>
      </c>
      <c r="K15" s="27"/>
      <c r="L15" s="50">
        <v>0</v>
      </c>
      <c r="M15" s="451"/>
      <c r="N15" s="6">
        <f>D15+F15+H15+J15+L15</f>
        <v>0</v>
      </c>
    </row>
    <row r="16" spans="1:14" x14ac:dyDescent="0.2">
      <c r="B16" s="151" t="s">
        <v>162</v>
      </c>
      <c r="D16" s="27"/>
      <c r="F16" s="27"/>
      <c r="G16" s="451"/>
      <c r="H16" s="27"/>
      <c r="I16" s="451"/>
      <c r="J16" s="27"/>
      <c r="K16" s="27"/>
      <c r="L16" s="27"/>
      <c r="M16" s="451"/>
      <c r="N16" s="27"/>
    </row>
    <row r="17" spans="1:14" x14ac:dyDescent="0.2">
      <c r="A17" s="33">
        <v>130</v>
      </c>
      <c r="B17" s="3" t="s">
        <v>159</v>
      </c>
      <c r="D17" s="50">
        <v>0</v>
      </c>
      <c r="F17" s="50">
        <v>0</v>
      </c>
      <c r="G17" s="451"/>
      <c r="H17" s="50">
        <v>0</v>
      </c>
      <c r="I17" s="451"/>
      <c r="J17" s="50">
        <v>0</v>
      </c>
      <c r="K17" s="27"/>
      <c r="L17" s="50">
        <v>0</v>
      </c>
      <c r="M17" s="451"/>
      <c r="N17" s="50">
        <f>D17+F17+H17+J17+L17</f>
        <v>0</v>
      </c>
    </row>
    <row r="18" spans="1:14" x14ac:dyDescent="0.2">
      <c r="A18" s="33">
        <v>105</v>
      </c>
      <c r="B18" s="3" t="s">
        <v>160</v>
      </c>
      <c r="D18" s="50">
        <v>0</v>
      </c>
      <c r="F18" s="50">
        <v>0</v>
      </c>
      <c r="G18" s="451"/>
      <c r="H18" s="50">
        <v>0</v>
      </c>
      <c r="I18" s="451"/>
      <c r="J18" s="50">
        <v>0</v>
      </c>
      <c r="K18" s="27"/>
      <c r="L18" s="50">
        <v>0</v>
      </c>
      <c r="M18" s="451"/>
      <c r="N18" s="7">
        <f>D18+F18+H18+J18+L18</f>
        <v>0</v>
      </c>
    </row>
    <row r="19" spans="1:14" x14ac:dyDescent="0.2">
      <c r="B19" s="24" t="s">
        <v>54</v>
      </c>
      <c r="D19" s="36">
        <f>SUM(D11:D18)</f>
        <v>0</v>
      </c>
      <c r="F19" s="36">
        <f>SUM(F11:F18)</f>
        <v>0</v>
      </c>
      <c r="G19" s="451"/>
      <c r="H19" s="36">
        <f>SUM(H11:H18)</f>
        <v>0</v>
      </c>
      <c r="I19" s="451"/>
      <c r="J19" s="36">
        <f>SUM(J11:J18)</f>
        <v>0</v>
      </c>
      <c r="K19" s="27"/>
      <c r="L19" s="36">
        <f>SUM(L11:L18)</f>
        <v>0</v>
      </c>
      <c r="M19" s="451"/>
      <c r="N19" s="8">
        <f>D19+F19+H19+J19+L19</f>
        <v>0</v>
      </c>
    </row>
    <row r="20" spans="1:14" x14ac:dyDescent="0.2">
      <c r="B20" s="23" t="s">
        <v>163</v>
      </c>
      <c r="D20" s="43" t="str">
        <f>IF(D19='Exh A'!D10,"OK","ERROR")</f>
        <v>OK</v>
      </c>
      <c r="F20" s="43" t="str">
        <f>IF(F19='Exh A'!F10,"OK","ERROR")</f>
        <v>OK</v>
      </c>
      <c r="G20" s="451"/>
      <c r="H20" s="43" t="str">
        <f>IF(H19='Exh A'!H10,"OK","ERROR")</f>
        <v>OK</v>
      </c>
      <c r="I20" s="451"/>
      <c r="J20" s="43" t="str">
        <f>IF(J19='Exh A'!J10,"OK","ERROR")</f>
        <v>OK</v>
      </c>
      <c r="K20" s="27"/>
      <c r="L20" s="43" t="str">
        <f>IF(L19='Exh A'!L10,"OK","ERROR")</f>
        <v>OK</v>
      </c>
      <c r="M20" s="451"/>
      <c r="N20" s="27"/>
    </row>
    <row r="21" spans="1:14" x14ac:dyDescent="0.2">
      <c r="D21" s="27"/>
      <c r="F21" s="27"/>
      <c r="G21" s="451"/>
      <c r="H21" s="27"/>
      <c r="I21" s="451"/>
      <c r="J21" s="27"/>
      <c r="K21" s="27"/>
      <c r="L21" s="27"/>
      <c r="M21" s="451"/>
      <c r="N21" s="27"/>
    </row>
    <row r="22" spans="1:14" ht="14.25" x14ac:dyDescent="0.2">
      <c r="B22" s="1" t="s">
        <v>164</v>
      </c>
      <c r="D22" s="27"/>
      <c r="F22" s="27"/>
      <c r="G22" s="451"/>
      <c r="H22" s="27"/>
      <c r="I22" s="451"/>
      <c r="J22" s="27"/>
      <c r="K22" s="27"/>
      <c r="L22" s="27"/>
      <c r="M22" s="451"/>
      <c r="N22" s="27"/>
    </row>
    <row r="23" spans="1:14" x14ac:dyDescent="0.2">
      <c r="A23" s="33">
        <v>140</v>
      </c>
      <c r="B23" s="3" t="s">
        <v>165</v>
      </c>
      <c r="D23" s="50">
        <v>0</v>
      </c>
      <c r="F23" s="50">
        <v>0</v>
      </c>
      <c r="G23" s="451"/>
      <c r="H23" s="50">
        <v>0</v>
      </c>
      <c r="I23" s="451"/>
      <c r="J23" s="50">
        <v>0</v>
      </c>
      <c r="K23" s="27"/>
      <c r="L23" s="50">
        <v>0</v>
      </c>
      <c r="M23" s="451"/>
      <c r="N23" s="6">
        <f>D23+F23+H23+J23+L23</f>
        <v>0</v>
      </c>
    </row>
    <row r="24" spans="1:14" x14ac:dyDescent="0.2">
      <c r="A24" s="33">
        <v>145</v>
      </c>
      <c r="B24" s="3" t="s">
        <v>166</v>
      </c>
      <c r="D24" s="50">
        <v>0</v>
      </c>
      <c r="F24" s="50">
        <v>0</v>
      </c>
      <c r="G24" s="451"/>
      <c r="H24" s="50">
        <v>0</v>
      </c>
      <c r="I24" s="451"/>
      <c r="J24" s="50">
        <v>0</v>
      </c>
      <c r="K24" s="27"/>
      <c r="L24" s="50">
        <v>0</v>
      </c>
      <c r="M24" s="451"/>
      <c r="N24" s="6">
        <f>D24+F24+H24+J24+L24</f>
        <v>0</v>
      </c>
    </row>
    <row r="25" spans="1:14" x14ac:dyDescent="0.2">
      <c r="A25" s="33">
        <v>140</v>
      </c>
      <c r="B25" s="3" t="s">
        <v>167</v>
      </c>
      <c r="D25" s="50">
        <v>0</v>
      </c>
      <c r="F25" s="50">
        <v>0</v>
      </c>
      <c r="G25" s="451"/>
      <c r="H25" s="50">
        <v>0</v>
      </c>
      <c r="I25" s="451"/>
      <c r="J25" s="50">
        <v>0</v>
      </c>
      <c r="K25" s="27"/>
      <c r="L25" s="50">
        <v>0</v>
      </c>
      <c r="M25" s="451"/>
      <c r="N25" s="6">
        <f>D25+F25+H25+J25+L25</f>
        <v>0</v>
      </c>
    </row>
    <row r="26" spans="1:14" x14ac:dyDescent="0.2">
      <c r="A26" s="33">
        <v>145</v>
      </c>
      <c r="B26" s="3" t="s">
        <v>168</v>
      </c>
      <c r="D26" s="50">
        <v>0</v>
      </c>
      <c r="F26" s="51">
        <v>0</v>
      </c>
      <c r="G26" s="451"/>
      <c r="H26" s="51">
        <v>0</v>
      </c>
      <c r="I26" s="451"/>
      <c r="J26" s="51">
        <v>0</v>
      </c>
      <c r="K26" s="27"/>
      <c r="L26" s="51">
        <v>0</v>
      </c>
      <c r="M26" s="451"/>
      <c r="N26" s="7">
        <f>D26+F26+H26+J26+L26</f>
        <v>0</v>
      </c>
    </row>
    <row r="27" spans="1:14" x14ac:dyDescent="0.2">
      <c r="A27" s="33"/>
      <c r="B27" s="24" t="s">
        <v>54</v>
      </c>
      <c r="D27" s="36">
        <f>SUM(D23:D26)</f>
        <v>0</v>
      </c>
      <c r="F27" s="36">
        <f>SUM(F23:F26)</f>
        <v>0</v>
      </c>
      <c r="G27" s="451"/>
      <c r="H27" s="36">
        <f>SUM(H23:H26)</f>
        <v>0</v>
      </c>
      <c r="I27" s="451"/>
      <c r="J27" s="36">
        <f>SUM(J23:J26)</f>
        <v>0</v>
      </c>
      <c r="K27" s="27"/>
      <c r="L27" s="36">
        <f>SUM(L23:L26)</f>
        <v>0</v>
      </c>
      <c r="M27" s="451"/>
      <c r="N27" s="8">
        <f>D27+F27+H27+J27+L27</f>
        <v>0</v>
      </c>
    </row>
    <row r="28" spans="1:14" x14ac:dyDescent="0.2">
      <c r="A28" s="33"/>
      <c r="B28" s="23" t="s">
        <v>163</v>
      </c>
      <c r="D28" s="43" t="str">
        <f>IF(D27='Exh A'!D27,"OK","ERROR")</f>
        <v>OK</v>
      </c>
      <c r="E28" s="44"/>
      <c r="F28" s="43" t="str">
        <f>IF(F27='Exh A'!F27,"OK","ERROR")</f>
        <v>OK</v>
      </c>
      <c r="G28" s="45"/>
      <c r="H28" s="43" t="str">
        <f>IF(H27='Exh A'!H27,"OK","ERROR")</f>
        <v>OK</v>
      </c>
      <c r="I28" s="45"/>
      <c r="J28" s="43" t="str">
        <f>IF(J27='Exh A'!J27,"OK","ERROR")</f>
        <v>OK</v>
      </c>
      <c r="K28" s="45"/>
      <c r="L28" s="43" t="str">
        <f>IF(L27='Exh A'!L27,"OK","ERROR")</f>
        <v>OK</v>
      </c>
      <c r="M28" s="451"/>
      <c r="N28" s="27"/>
    </row>
    <row r="29" spans="1:14" x14ac:dyDescent="0.2">
      <c r="A29" s="33"/>
      <c r="B29" s="23"/>
      <c r="D29" s="27"/>
      <c r="F29" s="27"/>
      <c r="G29" s="451"/>
      <c r="H29" s="27"/>
      <c r="I29" s="451"/>
      <c r="J29" s="27"/>
      <c r="K29" s="27"/>
      <c r="L29" s="27"/>
      <c r="M29" s="451"/>
      <c r="N29" s="27"/>
    </row>
    <row r="30" spans="1:14" x14ac:dyDescent="0.2">
      <c r="A30" s="33"/>
      <c r="B30" s="1" t="s">
        <v>86</v>
      </c>
    </row>
    <row r="31" spans="1:14" x14ac:dyDescent="0.2">
      <c r="A31" s="33">
        <v>260</v>
      </c>
      <c r="B31" s="3" t="s">
        <v>169</v>
      </c>
      <c r="D31" s="52">
        <v>0</v>
      </c>
      <c r="F31" s="52">
        <v>0</v>
      </c>
      <c r="G31" s="12"/>
      <c r="H31" s="52">
        <v>0</v>
      </c>
      <c r="I31" s="12"/>
      <c r="J31" s="52">
        <v>0</v>
      </c>
      <c r="K31" s="12"/>
      <c r="L31" s="52">
        <v>0</v>
      </c>
      <c r="N31" s="6">
        <f>D31+F31+H31+J31+L31</f>
        <v>0</v>
      </c>
    </row>
    <row r="32" spans="1:14" x14ac:dyDescent="0.2">
      <c r="A32" s="33">
        <v>261</v>
      </c>
      <c r="B32" s="3" t="s">
        <v>170</v>
      </c>
      <c r="D32" s="330">
        <v>0</v>
      </c>
      <c r="F32" s="53">
        <v>0</v>
      </c>
      <c r="G32" s="12"/>
      <c r="H32" s="53">
        <v>0</v>
      </c>
      <c r="I32" s="12"/>
      <c r="J32" s="53">
        <v>0</v>
      </c>
      <c r="K32" s="12"/>
      <c r="L32" s="53">
        <v>0</v>
      </c>
      <c r="N32" s="7">
        <f>D32+F32+H32+J32+L32</f>
        <v>0</v>
      </c>
    </row>
    <row r="33" spans="1:16" x14ac:dyDescent="0.2">
      <c r="A33" s="33"/>
      <c r="B33" s="24" t="s">
        <v>54</v>
      </c>
      <c r="D33" s="10">
        <f>SUM(D31:D32)</f>
        <v>0</v>
      </c>
      <c r="F33" s="10">
        <f>SUM(F31:F32)</f>
        <v>0</v>
      </c>
      <c r="G33" s="12"/>
      <c r="H33" s="10">
        <f>SUM(H31:H32)</f>
        <v>0</v>
      </c>
      <c r="I33" s="12"/>
      <c r="J33" s="10">
        <f>SUM(J31:J32)</f>
        <v>0</v>
      </c>
      <c r="K33" s="12"/>
      <c r="L33" s="10">
        <f>SUM(L31:L32)</f>
        <v>0</v>
      </c>
      <c r="N33" s="8">
        <f>D33+F33+H33+J33+L33</f>
        <v>0</v>
      </c>
    </row>
    <row r="34" spans="1:16" x14ac:dyDescent="0.2">
      <c r="A34" s="33"/>
      <c r="B34" s="23" t="s">
        <v>163</v>
      </c>
      <c r="D34" s="43" t="str">
        <f>IF(D33='Exh A'!D40,"OK","ERROR")</f>
        <v>OK</v>
      </c>
      <c r="F34" s="43" t="str">
        <f>IF(F33='Exh A'!F40,"OK","ERROR")</f>
        <v>OK</v>
      </c>
      <c r="H34" s="43" t="str">
        <f>IF(H33='Exh A'!H40,"OK","ERROR")</f>
        <v>OK</v>
      </c>
      <c r="J34" s="43" t="str">
        <f>IF(J33='Exh A'!J40,"OK","ERROR")</f>
        <v>OK</v>
      </c>
      <c r="L34" s="43" t="str">
        <f>IF(L33='Exh A'!L40,"OK","ERROR")</f>
        <v>OK</v>
      </c>
    </row>
    <row r="35" spans="1:16" x14ac:dyDescent="0.2">
      <c r="A35" s="33"/>
      <c r="B35" s="23"/>
      <c r="D35" s="27"/>
      <c r="F35" s="27"/>
      <c r="G35" s="451"/>
      <c r="H35" s="27"/>
      <c r="I35" s="451"/>
      <c r="J35" s="27"/>
      <c r="K35" s="27"/>
      <c r="L35" s="27"/>
      <c r="M35" s="451"/>
      <c r="N35" s="27"/>
    </row>
    <row r="36" spans="1:16" x14ac:dyDescent="0.2">
      <c r="A36" s="33"/>
      <c r="B36" s="1" t="s">
        <v>87</v>
      </c>
    </row>
    <row r="37" spans="1:16" x14ac:dyDescent="0.2">
      <c r="A37" s="33">
        <v>260</v>
      </c>
      <c r="B37" s="3" t="s">
        <v>169</v>
      </c>
      <c r="D37" s="328">
        <v>0</v>
      </c>
      <c r="F37" s="52">
        <v>0</v>
      </c>
      <c r="G37" s="12"/>
      <c r="H37" s="52">
        <v>0</v>
      </c>
      <c r="I37" s="12"/>
      <c r="J37" s="52">
        <v>0</v>
      </c>
      <c r="K37" s="12"/>
      <c r="L37" s="52">
        <v>0</v>
      </c>
      <c r="N37" s="6">
        <f>D37+F37+H37+J37+L37</f>
        <v>0</v>
      </c>
    </row>
    <row r="38" spans="1:16" x14ac:dyDescent="0.2">
      <c r="A38" s="33">
        <v>261</v>
      </c>
      <c r="B38" s="3" t="s">
        <v>170</v>
      </c>
      <c r="D38" s="51">
        <v>0</v>
      </c>
      <c r="F38" s="53">
        <v>0</v>
      </c>
      <c r="G38" s="12"/>
      <c r="H38" s="53">
        <v>0</v>
      </c>
      <c r="I38" s="12"/>
      <c r="J38" s="53">
        <v>0</v>
      </c>
      <c r="K38" s="12"/>
      <c r="L38" s="53">
        <v>0</v>
      </c>
      <c r="N38" s="7">
        <f>D38+F38+H38+J38+L38</f>
        <v>0</v>
      </c>
    </row>
    <row r="39" spans="1:16" x14ac:dyDescent="0.2">
      <c r="A39" s="33"/>
      <c r="B39" s="24" t="s">
        <v>54</v>
      </c>
      <c r="D39" s="10">
        <f>SUM(D37:D38)</f>
        <v>0</v>
      </c>
      <c r="F39" s="10">
        <f>SUM(F37:F38)</f>
        <v>0</v>
      </c>
      <c r="G39" s="12"/>
      <c r="H39" s="10">
        <f>SUM(H37:H38)</f>
        <v>0</v>
      </c>
      <c r="I39" s="12"/>
      <c r="J39" s="10">
        <f>SUM(J37:J38)</f>
        <v>0</v>
      </c>
      <c r="K39" s="12"/>
      <c r="L39" s="10">
        <f>SUM(L37:L38)</f>
        <v>0</v>
      </c>
      <c r="N39" s="8">
        <f>D39+F39+H39+J39+L39</f>
        <v>0</v>
      </c>
    </row>
    <row r="40" spans="1:16" x14ac:dyDescent="0.2">
      <c r="A40" s="33"/>
      <c r="B40" s="23" t="s">
        <v>163</v>
      </c>
      <c r="D40" s="43" t="str">
        <f>IF(D39='Exh A'!D41,"OK","ERROR")</f>
        <v>OK</v>
      </c>
      <c r="F40" s="43" t="str">
        <f>IF(F39='Exh A'!F41,"OK","ERROR")</f>
        <v>OK</v>
      </c>
      <c r="H40" s="43" t="str">
        <f>IF(H39='Exh A'!H41,"OK","ERROR")</f>
        <v>OK</v>
      </c>
      <c r="J40" s="43" t="str">
        <f>IF(J39='Exh A'!J41,"OK","ERROR")</f>
        <v>OK</v>
      </c>
      <c r="L40" s="43" t="str">
        <f>IF(L39='Exh A'!L41,"OK","ERROR")</f>
        <v>OK</v>
      </c>
    </row>
    <row r="41" spans="1:16" x14ac:dyDescent="0.2">
      <c r="A41" s="33"/>
      <c r="B41" s="23"/>
    </row>
    <row r="42" spans="1:16" x14ac:dyDescent="0.2">
      <c r="A42" s="33"/>
      <c r="B42" s="1" t="s">
        <v>171</v>
      </c>
    </row>
    <row r="43" spans="1:16" x14ac:dyDescent="0.2">
      <c r="A43" s="33">
        <v>260</v>
      </c>
      <c r="B43" s="3" t="s">
        <v>169</v>
      </c>
      <c r="D43" s="50">
        <v>0</v>
      </c>
      <c r="F43" s="52">
        <v>0</v>
      </c>
      <c r="G43" s="6"/>
      <c r="H43" s="52">
        <v>0</v>
      </c>
      <c r="I43" s="6"/>
      <c r="J43" s="52">
        <v>0</v>
      </c>
      <c r="K43" s="6"/>
      <c r="L43" s="52">
        <v>0</v>
      </c>
      <c r="N43" s="12">
        <f>D43+F43+H43+J43+L43</f>
        <v>0</v>
      </c>
    </row>
    <row r="44" spans="1:16" x14ac:dyDescent="0.2">
      <c r="A44" s="33">
        <v>261</v>
      </c>
      <c r="B44" s="3" t="s">
        <v>170</v>
      </c>
      <c r="D44" s="50">
        <v>0</v>
      </c>
      <c r="F44" s="51">
        <v>0</v>
      </c>
      <c r="G44" s="6"/>
      <c r="H44" s="51">
        <v>0</v>
      </c>
      <c r="I44" s="6"/>
      <c r="J44" s="51">
        <v>0</v>
      </c>
      <c r="K44" s="6"/>
      <c r="L44" s="51">
        <v>0</v>
      </c>
      <c r="N44" s="7">
        <f>D44+F44+H44+J44+L44</f>
        <v>0</v>
      </c>
    </row>
    <row r="45" spans="1:16" x14ac:dyDescent="0.2">
      <c r="A45" s="33"/>
      <c r="B45" s="24" t="s">
        <v>54</v>
      </c>
      <c r="D45" s="21">
        <f>SUM(D43:D44)</f>
        <v>0</v>
      </c>
      <c r="F45" s="21">
        <f>SUM(F43:F44)</f>
        <v>0</v>
      </c>
      <c r="G45" s="12"/>
      <c r="H45" s="21">
        <f>SUM(H43:H44)</f>
        <v>0</v>
      </c>
      <c r="I45" s="12"/>
      <c r="J45" s="21">
        <f>SUM(J43:J44)</f>
        <v>0</v>
      </c>
      <c r="K45" s="12"/>
      <c r="L45" s="21">
        <f>SUM(L43:L44)</f>
        <v>0</v>
      </c>
      <c r="N45" s="8">
        <f>D45+F45+H45+J45+L45</f>
        <v>0</v>
      </c>
    </row>
    <row r="46" spans="1:16" x14ac:dyDescent="0.2">
      <c r="A46" s="33"/>
      <c r="B46" s="23" t="s">
        <v>163</v>
      </c>
      <c r="D46" s="43" t="str">
        <f>IF(D45='Exh A'!D42,"OK","ERROR")</f>
        <v>OK</v>
      </c>
      <c r="F46" s="43" t="str">
        <f>IF(F45='Exh A'!F42,"OK","ERROR")</f>
        <v>OK</v>
      </c>
      <c r="H46" s="43" t="str">
        <f>IF(H45='Exh A'!H42,"OK","ERROR")</f>
        <v>OK</v>
      </c>
      <c r="J46" s="43" t="str">
        <f>IF(J45='Exh A'!J42,"OK","ERROR")</f>
        <v>OK</v>
      </c>
      <c r="L46" s="43" t="str">
        <f>IF(L45='Exh A'!L42,"OK","ERROR")</f>
        <v>OK</v>
      </c>
    </row>
    <row r="47" spans="1:16" x14ac:dyDescent="0.2">
      <c r="A47" s="33"/>
      <c r="B47" s="23"/>
    </row>
    <row r="48" spans="1:16" x14ac:dyDescent="0.2">
      <c r="A48" s="33"/>
      <c r="B48" s="1" t="s">
        <v>89</v>
      </c>
      <c r="P48" s="141"/>
    </row>
    <row r="49" spans="1:16" x14ac:dyDescent="0.2">
      <c r="A49" s="33">
        <v>260</v>
      </c>
      <c r="B49" s="214" t="s">
        <v>169</v>
      </c>
      <c r="D49" s="52">
        <v>0</v>
      </c>
      <c r="F49" s="52">
        <v>0</v>
      </c>
      <c r="G49" s="6"/>
      <c r="H49" s="52">
        <v>0</v>
      </c>
      <c r="I49" s="6"/>
      <c r="J49" s="52">
        <v>0</v>
      </c>
      <c r="K49" s="6"/>
      <c r="L49" s="52">
        <v>0</v>
      </c>
      <c r="N49" s="12">
        <f>D49+F49+H49+J49+L49</f>
        <v>0</v>
      </c>
      <c r="P49" s="141"/>
    </row>
    <row r="50" spans="1:16" x14ac:dyDescent="0.2">
      <c r="A50" s="33">
        <v>261</v>
      </c>
      <c r="B50" s="214" t="s">
        <v>170</v>
      </c>
      <c r="D50" s="51">
        <v>0</v>
      </c>
      <c r="F50" s="51">
        <v>0</v>
      </c>
      <c r="G50" s="6"/>
      <c r="H50" s="51">
        <v>0</v>
      </c>
      <c r="I50" s="6"/>
      <c r="J50" s="51">
        <v>0</v>
      </c>
      <c r="K50" s="6"/>
      <c r="L50" s="51">
        <v>0</v>
      </c>
      <c r="N50" s="7">
        <f>D50+F50+H50+J50+L50</f>
        <v>0</v>
      </c>
    </row>
    <row r="51" spans="1:16" x14ac:dyDescent="0.2">
      <c r="A51" s="33"/>
      <c r="B51" s="24" t="s">
        <v>54</v>
      </c>
      <c r="D51" s="21">
        <f>SUM(D49:D50)</f>
        <v>0</v>
      </c>
      <c r="F51" s="21">
        <f>SUM(F49:F50)</f>
        <v>0</v>
      </c>
      <c r="G51" s="12"/>
      <c r="H51" s="21">
        <f>SUM(H49:H50)</f>
        <v>0</v>
      </c>
      <c r="I51" s="12"/>
      <c r="J51" s="21">
        <f>SUM(J49:J50)</f>
        <v>0</v>
      </c>
      <c r="K51" s="12"/>
      <c r="L51" s="21">
        <f>SUM(L49:L50)</f>
        <v>0</v>
      </c>
      <c r="N51" s="8">
        <f>D51+F51+H51+J51+L51</f>
        <v>0</v>
      </c>
    </row>
    <row r="52" spans="1:16" x14ac:dyDescent="0.2">
      <c r="A52" s="33"/>
      <c r="B52" s="23" t="s">
        <v>163</v>
      </c>
      <c r="D52" s="43" t="str">
        <f>IF(D51='Exh A'!D43,"OK","ERROR")</f>
        <v>OK</v>
      </c>
      <c r="F52" s="43" t="str">
        <f>IF(F51='Exh A'!F43,"OK","ERROR")</f>
        <v>OK</v>
      </c>
      <c r="H52" s="43" t="str">
        <f>IF(H51='Exh A'!H43,"OK","ERROR")</f>
        <v>OK</v>
      </c>
      <c r="J52" s="43" t="str">
        <f>IF(J51='Exh A'!J43,"OK","ERROR")</f>
        <v>OK</v>
      </c>
      <c r="L52" s="43" t="str">
        <f>IF(L51='Exh A'!L43,"OK","ERROR")</f>
        <v>OK</v>
      </c>
    </row>
    <row r="53" spans="1:16" x14ac:dyDescent="0.2">
      <c r="A53" s="33"/>
      <c r="B53" s="23"/>
    </row>
    <row r="54" spans="1:16" x14ac:dyDescent="0.2">
      <c r="A54" s="33"/>
      <c r="B54" s="1" t="s">
        <v>90</v>
      </c>
    </row>
    <row r="55" spans="1:16" x14ac:dyDescent="0.2">
      <c r="A55" s="33">
        <v>260</v>
      </c>
      <c r="B55" s="3" t="s">
        <v>169</v>
      </c>
      <c r="D55" s="52">
        <v>0</v>
      </c>
      <c r="F55" s="328">
        <v>0</v>
      </c>
      <c r="G55" s="6"/>
      <c r="H55" s="52">
        <v>0</v>
      </c>
      <c r="I55" s="6"/>
      <c r="J55" s="52">
        <v>0</v>
      </c>
      <c r="K55" s="6"/>
      <c r="L55" s="52">
        <v>0</v>
      </c>
      <c r="N55" s="12">
        <f>D55+F55+H55+J55+L55</f>
        <v>0</v>
      </c>
    </row>
    <row r="56" spans="1:16" x14ac:dyDescent="0.2">
      <c r="A56" s="33">
        <v>261</v>
      </c>
      <c r="B56" s="3" t="s">
        <v>170</v>
      </c>
      <c r="D56" s="51">
        <v>0</v>
      </c>
      <c r="F56" s="51">
        <v>0</v>
      </c>
      <c r="G56" s="6"/>
      <c r="H56" s="51">
        <v>0</v>
      </c>
      <c r="I56" s="6"/>
      <c r="J56" s="51">
        <v>0</v>
      </c>
      <c r="K56" s="6"/>
      <c r="L56" s="51">
        <v>0</v>
      </c>
      <c r="N56" s="7">
        <f>D56+F56+H56+J56+L56</f>
        <v>0</v>
      </c>
    </row>
    <row r="57" spans="1:16" x14ac:dyDescent="0.2">
      <c r="A57" s="33"/>
      <c r="B57" s="24" t="s">
        <v>54</v>
      </c>
      <c r="D57" s="21">
        <f>SUM(D55:D56)</f>
        <v>0</v>
      </c>
      <c r="F57" s="21">
        <f>SUM(F55:F56)</f>
        <v>0</v>
      </c>
      <c r="G57" s="12"/>
      <c r="H57" s="21">
        <f>SUM(H55:H56)</f>
        <v>0</v>
      </c>
      <c r="I57" s="12"/>
      <c r="J57" s="21">
        <f>SUM(J55:J56)</f>
        <v>0</v>
      </c>
      <c r="K57" s="12"/>
      <c r="L57" s="21">
        <f>SUM(L55:L56)</f>
        <v>0</v>
      </c>
      <c r="N57" s="8">
        <f>D57+F57+H57+J57+L57</f>
        <v>0</v>
      </c>
    </row>
    <row r="58" spans="1:16" x14ac:dyDescent="0.2">
      <c r="A58" s="33"/>
      <c r="B58" s="23" t="s">
        <v>163</v>
      </c>
      <c r="D58" s="43" t="str">
        <f>IF(D57='Exh A'!D44,"OK","ERROR")</f>
        <v>OK</v>
      </c>
      <c r="F58" s="43" t="str">
        <f>IF(F57='Exh A'!F44,"OK","ERROR")</f>
        <v>OK</v>
      </c>
      <c r="H58" s="43" t="str">
        <f>IF(H57='Exh A'!H44,"OK","ERROR")</f>
        <v>OK</v>
      </c>
      <c r="J58" s="43" t="str">
        <f>IF(J57='Exh A'!J44,"OK","ERROR")</f>
        <v>OK</v>
      </c>
      <c r="L58" s="43" t="str">
        <f>IF(L57='Exh A'!L44,"OK","ERROR")</f>
        <v>OK</v>
      </c>
    </row>
    <row r="59" spans="1:16" x14ac:dyDescent="0.2">
      <c r="A59" s="33"/>
      <c r="B59" s="23"/>
    </row>
    <row r="60" spans="1:16" x14ac:dyDescent="0.2">
      <c r="A60" s="33"/>
      <c r="B60" s="1" t="s">
        <v>91</v>
      </c>
    </row>
    <row r="61" spans="1:16" x14ac:dyDescent="0.2">
      <c r="A61" s="33">
        <v>260</v>
      </c>
      <c r="B61" s="3" t="s">
        <v>169</v>
      </c>
      <c r="D61" s="50">
        <v>0</v>
      </c>
      <c r="F61" s="52">
        <v>0</v>
      </c>
      <c r="G61" s="12"/>
      <c r="H61" s="52">
        <v>0</v>
      </c>
      <c r="I61" s="12"/>
      <c r="J61" s="52">
        <v>0</v>
      </c>
      <c r="K61" s="12"/>
      <c r="L61" s="52">
        <v>0</v>
      </c>
      <c r="N61" s="6">
        <f>D61+F61+H61+J61+L61</f>
        <v>0</v>
      </c>
    </row>
    <row r="62" spans="1:16" x14ac:dyDescent="0.2">
      <c r="A62" s="33">
        <v>261</v>
      </c>
      <c r="B62" s="3" t="s">
        <v>170</v>
      </c>
      <c r="D62" s="50">
        <v>0</v>
      </c>
      <c r="F62" s="53">
        <v>0</v>
      </c>
      <c r="G62" s="12"/>
      <c r="H62" s="53">
        <v>0</v>
      </c>
      <c r="I62" s="12"/>
      <c r="J62" s="53">
        <v>0</v>
      </c>
      <c r="K62" s="12"/>
      <c r="L62" s="53">
        <v>0</v>
      </c>
      <c r="N62" s="7">
        <f>D62+F62+H62+J62+L62</f>
        <v>0</v>
      </c>
    </row>
    <row r="63" spans="1:16" x14ac:dyDescent="0.2">
      <c r="A63" s="33"/>
      <c r="B63" s="24" t="s">
        <v>54</v>
      </c>
      <c r="D63" s="10">
        <f>SUM(D61:D62)</f>
        <v>0</v>
      </c>
      <c r="F63" s="10">
        <f>SUM(F61:F62)</f>
        <v>0</v>
      </c>
      <c r="G63" s="12"/>
      <c r="H63" s="10">
        <f>SUM(H61:H62)</f>
        <v>0</v>
      </c>
      <c r="I63" s="12"/>
      <c r="J63" s="10">
        <f>SUM(J61:J62)</f>
        <v>0</v>
      </c>
      <c r="K63" s="12"/>
      <c r="L63" s="10">
        <f>SUM(L61:L62)</f>
        <v>0</v>
      </c>
      <c r="N63" s="8">
        <f>D63+F63+H63+J63+L63</f>
        <v>0</v>
      </c>
    </row>
    <row r="64" spans="1:16" x14ac:dyDescent="0.2">
      <c r="A64" s="33"/>
      <c r="B64" s="23" t="s">
        <v>163</v>
      </c>
      <c r="D64" s="43" t="str">
        <f>IF(D63='Exh A'!D45,"OK","ERROR")</f>
        <v>OK</v>
      </c>
      <c r="F64" s="43" t="str">
        <f>IF(F63='Exh A'!F45,"OK","ERROR")</f>
        <v>OK</v>
      </c>
      <c r="H64" s="43" t="str">
        <f>IF(H63='Exh A'!H45,"OK","ERROR")</f>
        <v>OK</v>
      </c>
      <c r="J64" s="43" t="str">
        <f>IF(J63='Exh A'!J45,"OK","ERROR")</f>
        <v>OK</v>
      </c>
      <c r="L64" s="43" t="str">
        <f>IF(L63='Exh A'!L45,"OK","ERROR")</f>
        <v>OK</v>
      </c>
    </row>
    <row r="65" spans="1:14" x14ac:dyDescent="0.2">
      <c r="A65" s="33"/>
      <c r="B65" s="23"/>
    </row>
    <row r="66" spans="1:14" x14ac:dyDescent="0.2">
      <c r="A66" s="33"/>
      <c r="B66" s="1" t="s">
        <v>125</v>
      </c>
    </row>
    <row r="67" spans="1:14" x14ac:dyDescent="0.2">
      <c r="A67" s="33">
        <v>500</v>
      </c>
      <c r="B67" s="3" t="s">
        <v>172</v>
      </c>
      <c r="D67" s="328">
        <v>0</v>
      </c>
      <c r="F67" s="328">
        <v>0</v>
      </c>
      <c r="G67" s="12"/>
      <c r="H67" s="328">
        <v>0</v>
      </c>
      <c r="I67" s="12"/>
      <c r="J67" s="52">
        <v>0</v>
      </c>
      <c r="K67" s="12"/>
      <c r="L67" s="52">
        <v>0</v>
      </c>
      <c r="N67" s="6">
        <f>D67+F67+H67+J67+L67</f>
        <v>0</v>
      </c>
    </row>
    <row r="68" spans="1:14" x14ac:dyDescent="0.2">
      <c r="A68" s="33">
        <v>510</v>
      </c>
      <c r="B68" s="3" t="s">
        <v>173</v>
      </c>
      <c r="D68" s="328">
        <v>0</v>
      </c>
      <c r="F68" s="328">
        <v>0</v>
      </c>
      <c r="G68" s="12"/>
      <c r="H68" s="328">
        <v>0</v>
      </c>
      <c r="I68" s="12"/>
      <c r="J68" s="52">
        <v>0</v>
      </c>
      <c r="K68" s="12"/>
      <c r="L68" s="52">
        <v>0</v>
      </c>
      <c r="N68" s="6">
        <f>D68+F68+H68+J68+L68</f>
        <v>0</v>
      </c>
    </row>
    <row r="69" spans="1:14" x14ac:dyDescent="0.2">
      <c r="A69" s="33">
        <v>520</v>
      </c>
      <c r="B69" s="3" t="s">
        <v>174</v>
      </c>
      <c r="D69" s="330">
        <v>0</v>
      </c>
      <c r="F69" s="330">
        <v>0</v>
      </c>
      <c r="G69" s="12"/>
      <c r="H69" s="330">
        <v>0</v>
      </c>
      <c r="I69" s="12"/>
      <c r="J69" s="53">
        <v>0</v>
      </c>
      <c r="K69" s="12"/>
      <c r="L69" s="53">
        <v>0</v>
      </c>
      <c r="N69" s="7">
        <f>D69+F69+H69+J69+L69</f>
        <v>0</v>
      </c>
    </row>
    <row r="70" spans="1:14" x14ac:dyDescent="0.2">
      <c r="A70" s="33"/>
      <c r="B70" s="24" t="s">
        <v>54</v>
      </c>
      <c r="D70" s="21">
        <f>SUM(D67:D69)</f>
        <v>0</v>
      </c>
      <c r="F70" s="21">
        <f>SUM(F67:F69)</f>
        <v>0</v>
      </c>
      <c r="G70" s="12"/>
      <c r="H70" s="21">
        <f>SUM(H67:H69)</f>
        <v>0</v>
      </c>
      <c r="I70" s="12"/>
      <c r="J70" s="21">
        <f>SUM(J67:J69)</f>
        <v>0</v>
      </c>
      <c r="K70" s="12"/>
      <c r="L70" s="21">
        <f>SUM(L67:L69)</f>
        <v>0</v>
      </c>
      <c r="N70" s="8">
        <f>D70+F70+H70+J70+L70</f>
        <v>0</v>
      </c>
    </row>
    <row r="71" spans="1:14" x14ac:dyDescent="0.2">
      <c r="A71" s="33"/>
      <c r="B71" s="23" t="s">
        <v>175</v>
      </c>
      <c r="D71" s="43" t="str">
        <f>IF(D70='Exh B'!D9,"OK","ERROR")</f>
        <v>OK</v>
      </c>
      <c r="F71" s="43" t="str">
        <f>IF(F70='Exh B'!F9,"OK","ERROR")</f>
        <v>OK</v>
      </c>
      <c r="H71" s="43" t="str">
        <f>IF(H70='Exh B'!H9,"OK","ERROR")</f>
        <v>OK</v>
      </c>
      <c r="J71" s="43" t="str">
        <f>IF(J70='Exh B'!J9,"OK","ERROR")</f>
        <v>OK</v>
      </c>
      <c r="L71" s="43" t="str">
        <f>IF(L70='Exh B'!L9,"OK","ERROR")</f>
        <v>OK</v>
      </c>
    </row>
    <row r="72" spans="1:14" ht="18" customHeight="1" x14ac:dyDescent="0.2">
      <c r="A72" s="33"/>
      <c r="B72" s="23"/>
      <c r="D72" s="43"/>
      <c r="F72" s="43"/>
      <c r="H72" s="43"/>
      <c r="J72" s="43"/>
      <c r="L72" s="43"/>
    </row>
    <row r="73" spans="1:14" x14ac:dyDescent="0.2">
      <c r="A73" s="561" t="s">
        <v>176</v>
      </c>
      <c r="B73" s="561"/>
    </row>
    <row r="74" spans="1:14" ht="12" customHeight="1" x14ac:dyDescent="0.2">
      <c r="A74" s="46"/>
      <c r="B74" s="46"/>
    </row>
    <row r="75" spans="1:14" ht="14.25" x14ac:dyDescent="0.2">
      <c r="A75" s="33"/>
      <c r="B75" s="1" t="s">
        <v>177</v>
      </c>
    </row>
    <row r="76" spans="1:14" x14ac:dyDescent="0.2">
      <c r="A76" s="33">
        <v>604</v>
      </c>
      <c r="B76" s="3" t="s">
        <v>178</v>
      </c>
      <c r="D76" s="50">
        <v>0</v>
      </c>
      <c r="F76" s="52">
        <v>0</v>
      </c>
      <c r="H76" s="52">
        <v>0</v>
      </c>
      <c r="J76" s="52">
        <v>0</v>
      </c>
      <c r="K76" s="12"/>
      <c r="L76" s="52">
        <v>0</v>
      </c>
      <c r="N76" s="6">
        <f>D76+F76+H76+J76+L76</f>
        <v>0</v>
      </c>
    </row>
    <row r="77" spans="1:14" x14ac:dyDescent="0.2">
      <c r="A77" s="33">
        <v>600</v>
      </c>
      <c r="B77" s="3" t="s">
        <v>179</v>
      </c>
      <c r="D77" s="328">
        <v>0</v>
      </c>
      <c r="F77" s="328">
        <v>0</v>
      </c>
      <c r="H77" s="328">
        <v>0</v>
      </c>
      <c r="J77" s="52">
        <v>0</v>
      </c>
      <c r="K77" s="12"/>
      <c r="L77" s="52">
        <v>0</v>
      </c>
      <c r="N77" s="6">
        <f>D77+F77+H77+J77+L77</f>
        <v>0</v>
      </c>
    </row>
    <row r="78" spans="1:14" x14ac:dyDescent="0.2">
      <c r="A78" s="33">
        <v>602</v>
      </c>
      <c r="B78" s="3" t="s">
        <v>180</v>
      </c>
      <c r="D78" s="50">
        <v>0</v>
      </c>
      <c r="F78" s="53">
        <v>0</v>
      </c>
      <c r="H78" s="53">
        <v>0</v>
      </c>
      <c r="J78" s="53">
        <v>0</v>
      </c>
      <c r="K78" s="12"/>
      <c r="L78" s="53">
        <v>0</v>
      </c>
      <c r="N78" s="7">
        <f>D78+F78+H78+J78+L78</f>
        <v>0</v>
      </c>
    </row>
    <row r="79" spans="1:14" x14ac:dyDescent="0.2">
      <c r="A79" s="33"/>
      <c r="B79" s="24" t="s">
        <v>54</v>
      </c>
      <c r="D79" s="21">
        <f>SUM(D76:D78)</f>
        <v>0</v>
      </c>
      <c r="F79" s="21">
        <f>SUM(F76:F78)</f>
        <v>0</v>
      </c>
      <c r="H79" s="21">
        <f>SUM(H76:H78)</f>
        <v>0</v>
      </c>
      <c r="J79" s="21">
        <f>SUM(J76:J78)</f>
        <v>0</v>
      </c>
      <c r="K79" s="12"/>
      <c r="L79" s="21">
        <f>SUM(L76:L78)</f>
        <v>0</v>
      </c>
      <c r="N79" s="8">
        <f>D79+F79+H79+J79+L79</f>
        <v>0</v>
      </c>
    </row>
    <row r="80" spans="1:14" x14ac:dyDescent="0.2">
      <c r="A80" s="33"/>
      <c r="B80" s="23" t="s">
        <v>175</v>
      </c>
      <c r="D80" s="43" t="str">
        <f>IF(D79='Exh B'!D22,"OK","ERROR")</f>
        <v>OK</v>
      </c>
      <c r="F80" s="43" t="str">
        <f>IF(F79='Exh B'!F22,"OK","ERROR")</f>
        <v>OK</v>
      </c>
      <c r="H80" s="43" t="str">
        <f>IF(H79='Exh B'!H22,"OK","ERROR")</f>
        <v>OK</v>
      </c>
      <c r="J80" s="43" t="str">
        <f>IF(J79='Exh B'!J22,"OK","ERROR")</f>
        <v>OK</v>
      </c>
      <c r="L80" s="43" t="str">
        <f>IF(L79='Exh B'!L22,"OK","ERROR")</f>
        <v>OK</v>
      </c>
    </row>
    <row r="81" spans="1:15" ht="18" customHeight="1" x14ac:dyDescent="0.2">
      <c r="A81" s="33"/>
      <c r="B81" s="23"/>
      <c r="D81" s="43"/>
      <c r="F81" s="43"/>
      <c r="H81" s="43"/>
      <c r="J81" s="43"/>
      <c r="L81" s="43"/>
    </row>
    <row r="82" spans="1:15" x14ac:dyDescent="0.2">
      <c r="A82" s="33"/>
      <c r="B82" s="452" t="s">
        <v>181</v>
      </c>
      <c r="D82" s="43"/>
      <c r="F82" s="43"/>
      <c r="H82" s="43"/>
      <c r="J82" s="43"/>
      <c r="L82" s="43"/>
    </row>
    <row r="83" spans="1:15" x14ac:dyDescent="0.2">
      <c r="A83" s="33"/>
      <c r="B83" s="452"/>
      <c r="D83" s="43"/>
      <c r="F83" s="43"/>
      <c r="H83" s="43"/>
      <c r="J83" s="43"/>
      <c r="L83" s="43"/>
    </row>
    <row r="84" spans="1:15" x14ac:dyDescent="0.2">
      <c r="A84" s="33"/>
      <c r="B84" s="1" t="s">
        <v>182</v>
      </c>
      <c r="D84" s="54" t="s">
        <v>183</v>
      </c>
      <c r="F84" s="54" t="s">
        <v>183</v>
      </c>
      <c r="H84" s="54" t="s">
        <v>183</v>
      </c>
      <c r="J84" s="54" t="s">
        <v>183</v>
      </c>
      <c r="L84" s="54" t="s">
        <v>183</v>
      </c>
    </row>
    <row r="85" spans="1:15" ht="11.25" customHeight="1" x14ac:dyDescent="0.2">
      <c r="A85" s="33"/>
      <c r="B85" s="1"/>
      <c r="D85" s="71"/>
      <c r="F85" s="71"/>
      <c r="H85" s="71"/>
      <c r="J85" s="71"/>
      <c r="L85" s="71"/>
    </row>
    <row r="86" spans="1:15" ht="14.25" x14ac:dyDescent="0.2">
      <c r="A86" s="33"/>
      <c r="B86" s="72" t="s">
        <v>184</v>
      </c>
      <c r="D86" s="71"/>
      <c r="F86" s="71"/>
      <c r="H86" s="71"/>
      <c r="J86" s="71"/>
      <c r="L86" s="71"/>
    </row>
    <row r="87" spans="1:15" x14ac:dyDescent="0.2">
      <c r="A87" s="33"/>
      <c r="B87" s="214" t="s">
        <v>185</v>
      </c>
      <c r="D87" s="52">
        <v>0</v>
      </c>
      <c r="E87" s="52"/>
      <c r="F87" s="328">
        <v>0</v>
      </c>
      <c r="G87" s="52"/>
      <c r="H87" s="52">
        <v>0</v>
      </c>
      <c r="I87" s="52"/>
      <c r="J87" s="52">
        <v>0</v>
      </c>
      <c r="K87" s="52"/>
      <c r="L87" s="52">
        <v>0</v>
      </c>
      <c r="M87" s="52"/>
      <c r="N87" s="6">
        <f>D87+F87+H87+J87+L87</f>
        <v>0</v>
      </c>
      <c r="O87" s="151"/>
    </row>
    <row r="88" spans="1:15" x14ac:dyDescent="0.2">
      <c r="A88" s="33"/>
      <c r="B88" s="3" t="s">
        <v>186</v>
      </c>
      <c r="D88" s="53">
        <v>0</v>
      </c>
      <c r="E88" s="52"/>
      <c r="F88" s="330">
        <v>0</v>
      </c>
      <c r="G88" s="52"/>
      <c r="H88" s="53">
        <v>0</v>
      </c>
      <c r="I88" s="52"/>
      <c r="J88" s="53">
        <v>0</v>
      </c>
      <c r="K88" s="52"/>
      <c r="L88" s="53">
        <v>0</v>
      </c>
      <c r="M88" s="52"/>
      <c r="N88" s="7">
        <f>D88+F88+H88+J88+L88</f>
        <v>0</v>
      </c>
    </row>
    <row r="89" spans="1:15" x14ac:dyDescent="0.2">
      <c r="A89" s="33"/>
      <c r="B89" s="24" t="s">
        <v>54</v>
      </c>
      <c r="D89" s="10">
        <f>SUM(D87:D88)</f>
        <v>0</v>
      </c>
      <c r="E89" s="12"/>
      <c r="F89" s="10">
        <f>SUM(F87:F88)</f>
        <v>0</v>
      </c>
      <c r="G89" s="12"/>
      <c r="H89" s="10">
        <f>SUM(H87:H88)</f>
        <v>0</v>
      </c>
      <c r="I89" s="12"/>
      <c r="J89" s="10">
        <f>SUM(J87:J88)</f>
        <v>0</v>
      </c>
      <c r="K89" s="12"/>
      <c r="L89" s="10">
        <f>SUM(L87:L88)</f>
        <v>0</v>
      </c>
      <c r="M89" s="12"/>
      <c r="N89" s="8">
        <f>D89+F89+H89+J89+L89</f>
        <v>0</v>
      </c>
      <c r="O89" t="str">
        <f>IF($N$116&gt;=0,"","See below error - Invested in capital assets")</f>
        <v/>
      </c>
    </row>
    <row r="90" spans="1:15" x14ac:dyDescent="0.2">
      <c r="A90" s="33"/>
      <c r="B90" s="23" t="s">
        <v>163</v>
      </c>
      <c r="D90" s="43" t="str">
        <f>IF(D89='Exh A'!D44,"OK","ERROR")</f>
        <v>OK</v>
      </c>
      <c r="E90" s="52"/>
      <c r="F90" s="43" t="str">
        <f>IF(F89='Exh A'!F44,"OK","ERROR")</f>
        <v>OK</v>
      </c>
      <c r="G90" s="52"/>
      <c r="H90" s="43" t="str">
        <f>IF(H89='Exh A'!H44,"OK","ERROR")</f>
        <v>OK</v>
      </c>
      <c r="I90" s="52"/>
      <c r="J90" s="43" t="str">
        <f>IF(J89='Exh A'!J44,"OK","ERROR")</f>
        <v>OK</v>
      </c>
      <c r="K90" s="52"/>
      <c r="L90" s="43" t="str">
        <f>IF(L89='Exh A'!L44,"OK","ERROR")</f>
        <v>OK</v>
      </c>
      <c r="M90" s="52"/>
      <c r="N90" s="52"/>
    </row>
    <row r="91" spans="1:15" ht="9" customHeight="1" x14ac:dyDescent="0.2">
      <c r="A91" s="33"/>
      <c r="B91" s="231"/>
      <c r="D91" s="52"/>
      <c r="E91" s="52"/>
      <c r="F91" s="52"/>
      <c r="G91" s="52"/>
      <c r="H91" s="52"/>
      <c r="I91" s="52"/>
      <c r="J91" s="52"/>
      <c r="K91" s="52"/>
      <c r="L91" s="52"/>
      <c r="M91" s="52"/>
      <c r="N91" s="52"/>
    </row>
    <row r="92" spans="1:15" ht="14.25" x14ac:dyDescent="0.2">
      <c r="A92" s="33"/>
      <c r="B92" s="72" t="s">
        <v>187</v>
      </c>
      <c r="D92" s="52"/>
      <c r="E92" s="52"/>
      <c r="F92" s="52"/>
      <c r="G92" s="52"/>
      <c r="H92" s="52"/>
      <c r="I92" s="52"/>
      <c r="J92" s="52"/>
      <c r="K92" s="52"/>
      <c r="L92" s="52"/>
      <c r="M92" s="52"/>
      <c r="N92" s="52"/>
    </row>
    <row r="93" spans="1:15" x14ac:dyDescent="0.2">
      <c r="A93" s="33"/>
      <c r="B93" s="3" t="s">
        <v>188</v>
      </c>
      <c r="D93" s="52">
        <v>0</v>
      </c>
      <c r="E93" s="52"/>
      <c r="F93" s="52">
        <v>0</v>
      </c>
      <c r="G93" s="52"/>
      <c r="H93" s="52">
        <v>0</v>
      </c>
      <c r="I93" s="52"/>
      <c r="J93" s="52">
        <v>0</v>
      </c>
      <c r="K93" s="52"/>
      <c r="L93" s="52">
        <v>0</v>
      </c>
      <c r="M93" s="52"/>
      <c r="N93" s="6">
        <f>D93+F93+H93+J93+L93</f>
        <v>0</v>
      </c>
    </row>
    <row r="94" spans="1:15" x14ac:dyDescent="0.2">
      <c r="A94" s="33"/>
      <c r="B94" s="3" t="s">
        <v>189</v>
      </c>
      <c r="D94" s="50">
        <v>0</v>
      </c>
      <c r="E94" s="52"/>
      <c r="F94" s="53">
        <v>0</v>
      </c>
      <c r="G94" s="52"/>
      <c r="H94" s="53">
        <v>0</v>
      </c>
      <c r="I94" s="52"/>
      <c r="J94" s="53">
        <v>0</v>
      </c>
      <c r="K94" s="52"/>
      <c r="L94" s="53">
        <v>0</v>
      </c>
      <c r="M94" s="52"/>
      <c r="N94" s="7">
        <f>D94+F94+H94+J94+L94</f>
        <v>0</v>
      </c>
    </row>
    <row r="95" spans="1:15" x14ac:dyDescent="0.2">
      <c r="A95" s="33"/>
      <c r="B95" s="24" t="s">
        <v>54</v>
      </c>
      <c r="D95" s="10">
        <f>SUM(D93:D94)</f>
        <v>0</v>
      </c>
      <c r="E95" s="12"/>
      <c r="F95" s="10">
        <f>SUM(F93:F94)</f>
        <v>0</v>
      </c>
      <c r="G95" s="12"/>
      <c r="H95" s="10">
        <f>SUM(H93:H94)</f>
        <v>0</v>
      </c>
      <c r="I95" s="12"/>
      <c r="J95" s="10">
        <f>SUM(J93:J94)</f>
        <v>0</v>
      </c>
      <c r="K95" s="12"/>
      <c r="L95" s="10">
        <f>SUM(L93:L94)</f>
        <v>0</v>
      </c>
      <c r="M95" s="12"/>
      <c r="N95" s="8">
        <f>D95+F95+H95+J95+L95</f>
        <v>0</v>
      </c>
      <c r="O95" t="str">
        <f>IF($N$116&gt;=0,"","See below error - Invested in capital assets")</f>
        <v/>
      </c>
    </row>
    <row r="96" spans="1:15" x14ac:dyDescent="0.2">
      <c r="A96" s="33"/>
      <c r="B96" s="23" t="s">
        <v>163</v>
      </c>
      <c r="D96" s="43" t="str">
        <f>IF(D95='Exh A'!D45,"OK","ERROR")</f>
        <v>OK</v>
      </c>
      <c r="E96" s="52"/>
      <c r="F96" s="43" t="str">
        <f>IF(F95='Exh A'!F45,"OK","ERROR")</f>
        <v>OK</v>
      </c>
      <c r="G96" s="52"/>
      <c r="H96" s="43" t="str">
        <f>IF(H95='Exh A'!H45,"OK","ERROR")</f>
        <v>OK</v>
      </c>
      <c r="I96" s="52"/>
      <c r="J96" s="43" t="str">
        <f>IF(J95='Exh A'!J45,"OK","ERROR")</f>
        <v>OK</v>
      </c>
      <c r="K96" s="52"/>
      <c r="L96" s="43" t="str">
        <f>IF(L95='Exh A'!L45,"OK","ERROR")</f>
        <v>OK</v>
      </c>
      <c r="M96" s="52"/>
      <c r="N96" s="52"/>
    </row>
    <row r="97" spans="1:15" ht="9" customHeight="1" x14ac:dyDescent="0.2">
      <c r="A97" s="33"/>
      <c r="B97" s="23"/>
      <c r="D97" s="43"/>
      <c r="E97" s="52"/>
      <c r="F97" s="43"/>
      <c r="G97" s="52"/>
      <c r="H97" s="43"/>
      <c r="I97" s="52"/>
      <c r="J97" s="43"/>
      <c r="K97" s="52"/>
      <c r="L97" s="43"/>
      <c r="M97" s="52"/>
      <c r="N97" s="52"/>
    </row>
    <row r="98" spans="1:15" ht="14.25" x14ac:dyDescent="0.2">
      <c r="A98" s="33"/>
      <c r="B98" s="72" t="s">
        <v>190</v>
      </c>
      <c r="D98" s="43"/>
      <c r="E98" s="52"/>
      <c r="F98" s="43"/>
      <c r="G98" s="52"/>
      <c r="H98" s="43"/>
      <c r="I98" s="52"/>
      <c r="J98" s="43"/>
      <c r="K98" s="52"/>
      <c r="L98" s="43"/>
      <c r="M98" s="52"/>
      <c r="N98" s="52"/>
    </row>
    <row r="99" spans="1:15" x14ac:dyDescent="0.2">
      <c r="A99" s="33"/>
      <c r="B99" s="3" t="s">
        <v>191</v>
      </c>
      <c r="D99" s="52">
        <v>0</v>
      </c>
      <c r="E99" s="52"/>
      <c r="F99" s="52">
        <v>0</v>
      </c>
      <c r="G99" s="52"/>
      <c r="H99" s="52">
        <v>0</v>
      </c>
      <c r="I99" s="52"/>
      <c r="J99" s="52">
        <v>0</v>
      </c>
      <c r="K99" s="52"/>
      <c r="L99" s="52">
        <v>0</v>
      </c>
      <c r="M99" s="52"/>
      <c r="N99" s="6">
        <f>D99+F99+H99+J99+L99</f>
        <v>0</v>
      </c>
    </row>
    <row r="100" spans="1:15" x14ac:dyDescent="0.2">
      <c r="A100" s="33"/>
      <c r="B100" s="3" t="s">
        <v>192</v>
      </c>
      <c r="D100" s="53">
        <v>0</v>
      </c>
      <c r="E100" s="52"/>
      <c r="F100" s="53">
        <v>0</v>
      </c>
      <c r="G100" s="52"/>
      <c r="H100" s="53">
        <v>0</v>
      </c>
      <c r="I100" s="52"/>
      <c r="J100" s="53">
        <v>0</v>
      </c>
      <c r="K100" s="52"/>
      <c r="L100" s="53">
        <v>0</v>
      </c>
      <c r="M100" s="52"/>
      <c r="N100" s="7">
        <f>D100+F100+H100+J100+L100</f>
        <v>0</v>
      </c>
    </row>
    <row r="101" spans="1:15" x14ac:dyDescent="0.2">
      <c r="A101" s="33"/>
      <c r="B101" s="24" t="s">
        <v>54</v>
      </c>
      <c r="D101" s="10">
        <f>SUM(D99:D100)</f>
        <v>0</v>
      </c>
      <c r="E101" s="12"/>
      <c r="F101" s="10">
        <f>SUM(F99:F100)</f>
        <v>0</v>
      </c>
      <c r="G101" s="12"/>
      <c r="H101" s="10">
        <f>SUM(H99:H100)</f>
        <v>0</v>
      </c>
      <c r="I101" s="12"/>
      <c r="J101" s="10">
        <f>SUM(J99:J100)</f>
        <v>0</v>
      </c>
      <c r="K101" s="12"/>
      <c r="L101" s="10">
        <f>SUM(L99:L100)</f>
        <v>0</v>
      </c>
      <c r="M101" s="12"/>
      <c r="N101" s="8">
        <f>D101+F101+H101+J101+L101</f>
        <v>0</v>
      </c>
      <c r="O101" t="str">
        <f>IF($N$116&gt;=0,"","See below error - Invested in capital assets")</f>
        <v/>
      </c>
    </row>
    <row r="102" spans="1:15" x14ac:dyDescent="0.2">
      <c r="A102" s="33"/>
      <c r="B102" s="23"/>
      <c r="D102" s="43"/>
      <c r="E102" s="52"/>
      <c r="F102" s="43"/>
      <c r="G102" s="52"/>
      <c r="H102" s="43"/>
      <c r="I102" s="52"/>
      <c r="J102" s="43"/>
      <c r="K102" s="52"/>
      <c r="L102" s="43"/>
      <c r="M102" s="52"/>
      <c r="N102" s="52"/>
    </row>
    <row r="103" spans="1:15" ht="14.25" x14ac:dyDescent="0.2">
      <c r="A103" s="33"/>
      <c r="B103" s="1" t="s">
        <v>193</v>
      </c>
      <c r="C103" s="141"/>
      <c r="D103" s="213"/>
      <c r="E103" s="141"/>
      <c r="F103" s="213"/>
      <c r="G103" s="141"/>
      <c r="H103" s="213"/>
      <c r="I103" s="141"/>
      <c r="J103" s="213"/>
      <c r="K103" s="141"/>
      <c r="L103" s="213"/>
      <c r="M103" s="141"/>
      <c r="N103" s="141"/>
      <c r="O103" s="149"/>
    </row>
    <row r="104" spans="1:15" x14ac:dyDescent="0.2">
      <c r="A104" s="33"/>
      <c r="B104" s="214" t="s">
        <v>194</v>
      </c>
      <c r="C104" s="141"/>
      <c r="D104" s="331">
        <v>0</v>
      </c>
      <c r="E104" s="151"/>
      <c r="F104" s="333">
        <v>0</v>
      </c>
      <c r="G104" s="151"/>
      <c r="H104" s="333">
        <v>0</v>
      </c>
      <c r="I104" s="151"/>
      <c r="J104" s="218">
        <v>0</v>
      </c>
      <c r="K104" s="151"/>
      <c r="L104" s="218">
        <v>0</v>
      </c>
      <c r="M104" s="151"/>
      <c r="N104" s="220">
        <f>D104+F104+H104+J104+L104</f>
        <v>0</v>
      </c>
      <c r="O104" s="149"/>
    </row>
    <row r="105" spans="1:15" x14ac:dyDescent="0.2">
      <c r="A105" s="33"/>
      <c r="B105" s="214" t="s">
        <v>195</v>
      </c>
      <c r="D105" s="332">
        <v>0</v>
      </c>
      <c r="E105" s="52"/>
      <c r="F105" s="334">
        <v>0</v>
      </c>
      <c r="G105" s="52"/>
      <c r="H105" s="334">
        <v>0</v>
      </c>
      <c r="I105" s="52"/>
      <c r="J105" s="219">
        <v>0</v>
      </c>
      <c r="K105" s="52"/>
      <c r="L105" s="219">
        <v>0</v>
      </c>
      <c r="M105" s="52"/>
      <c r="N105" s="221">
        <f>D105+F105+H105+J105+L105</f>
        <v>0</v>
      </c>
      <c r="O105" s="149"/>
    </row>
    <row r="106" spans="1:15" x14ac:dyDescent="0.2">
      <c r="A106" s="33"/>
      <c r="B106" s="214"/>
      <c r="D106" s="215">
        <f>SUM(D104:D105)</f>
        <v>0</v>
      </c>
      <c r="E106" s="52"/>
      <c r="F106" s="216">
        <f>SUM(F104:F105)</f>
        <v>0</v>
      </c>
      <c r="G106" s="52"/>
      <c r="H106" s="216">
        <f>SUM(H104:H105)</f>
        <v>0</v>
      </c>
      <c r="I106" s="52"/>
      <c r="J106" s="216">
        <f>SUM(J104:J105)</f>
        <v>0</v>
      </c>
      <c r="K106" s="52"/>
      <c r="L106" s="216">
        <f>SUM(L104:L105)</f>
        <v>0</v>
      </c>
      <c r="M106" s="52"/>
      <c r="N106" s="217">
        <f>SUM(N104:N105)</f>
        <v>0</v>
      </c>
      <c r="O106" s="149"/>
    </row>
    <row r="107" spans="1:15" s="309" customFormat="1" ht="39" customHeight="1" x14ac:dyDescent="0.2">
      <c r="A107" s="307"/>
      <c r="B107" s="308"/>
      <c r="D107" s="310" t="str">
        <f>IF(D106='Exh A'!D50,"OK","Explain Further on 'Comments' tab - Column A")</f>
        <v>OK</v>
      </c>
      <c r="E107" s="310"/>
      <c r="F107" s="310" t="str">
        <f>IF(F106='Exh A'!F50,"OK","Explain Further on 'Comments' tab")</f>
        <v>OK</v>
      </c>
      <c r="G107" s="310"/>
      <c r="H107" s="310" t="str">
        <f>IF(H106='Exh A'!H50,"OK","Explain Further on 'Comments' tab")</f>
        <v>OK</v>
      </c>
      <c r="I107" s="310"/>
      <c r="J107" s="310" t="str">
        <f>IF(J106='Exh A'!J50,"OK","Explain Further on 'Comments' tab")</f>
        <v>OK</v>
      </c>
      <c r="K107" s="310"/>
      <c r="L107" s="310" t="str">
        <f>IF(L106='Exh A'!L50,"OK","Explain Further on 'Comments' tab")</f>
        <v>OK</v>
      </c>
      <c r="M107" s="310"/>
      <c r="N107" s="310" t="str">
        <f>IF(N106='Exh A'!N50,"OK","Explain Further on 'Comments' tab - Column A")</f>
        <v>OK</v>
      </c>
      <c r="O107" s="311"/>
    </row>
    <row r="108" spans="1:15" x14ac:dyDescent="0.2">
      <c r="A108" s="33"/>
      <c r="B108" s="23"/>
      <c r="D108" s="43"/>
      <c r="E108" s="52"/>
      <c r="F108" s="43"/>
      <c r="G108" s="52"/>
      <c r="H108" s="43"/>
      <c r="I108" s="52"/>
      <c r="J108" s="43"/>
      <c r="K108" s="52"/>
      <c r="L108" s="43"/>
      <c r="M108" s="52"/>
      <c r="N108" s="52"/>
    </row>
    <row r="109" spans="1:15" ht="14.25" x14ac:dyDescent="0.2">
      <c r="A109" s="33"/>
      <c r="B109" s="29" t="s">
        <v>196</v>
      </c>
      <c r="C109" s="14"/>
      <c r="D109" s="14"/>
      <c r="E109" s="14"/>
      <c r="F109" s="14"/>
      <c r="G109" s="14"/>
      <c r="H109" s="14"/>
      <c r="I109" s="14"/>
      <c r="J109" s="14"/>
      <c r="K109" s="14"/>
      <c r="L109" s="14"/>
      <c r="M109" s="14"/>
      <c r="N109" s="14"/>
    </row>
    <row r="110" spans="1:15" x14ac:dyDescent="0.2">
      <c r="A110" s="33"/>
      <c r="B110" s="15" t="s">
        <v>197</v>
      </c>
      <c r="C110" s="14"/>
      <c r="D110" s="14"/>
      <c r="E110" s="14"/>
      <c r="F110" s="14"/>
      <c r="G110" s="14"/>
      <c r="H110" s="14"/>
      <c r="I110" s="14"/>
      <c r="J110" s="14"/>
      <c r="K110" s="14"/>
      <c r="L110" s="14"/>
      <c r="M110" s="14"/>
      <c r="N110" s="14"/>
    </row>
    <row r="111" spans="1:15" x14ac:dyDescent="0.2">
      <c r="A111" s="33"/>
      <c r="B111" s="16" t="s">
        <v>198</v>
      </c>
      <c r="C111" s="14"/>
      <c r="D111" s="30">
        <f>'Exh A'!D27</f>
        <v>0</v>
      </c>
      <c r="E111" s="14"/>
      <c r="F111" s="30">
        <f>'Exh A'!F27</f>
        <v>0</v>
      </c>
      <c r="G111" s="18"/>
      <c r="H111" s="30">
        <f>'Exh A'!H27</f>
        <v>0</v>
      </c>
      <c r="I111" s="18"/>
      <c r="J111" s="30">
        <f>'Exh A'!J27</f>
        <v>0</v>
      </c>
      <c r="K111" s="18"/>
      <c r="L111" s="30">
        <f>'Exh A'!L27</f>
        <v>0</v>
      </c>
      <c r="M111" s="14"/>
      <c r="N111" s="30">
        <f t="shared" ref="N111:N116" si="0">D111+F111+H111+J111+L111</f>
        <v>0</v>
      </c>
    </row>
    <row r="112" spans="1:15" x14ac:dyDescent="0.2">
      <c r="A112" s="33"/>
      <c r="B112" s="16" t="s">
        <v>199</v>
      </c>
      <c r="C112" s="14"/>
      <c r="D112" s="18">
        <f>'Exh A'!D42</f>
        <v>0</v>
      </c>
      <c r="E112" s="14"/>
      <c r="F112" s="18">
        <f>'Exh A'!F42</f>
        <v>0</v>
      </c>
      <c r="G112" s="18"/>
      <c r="H112" s="18">
        <f>'Exh A'!H42</f>
        <v>0</v>
      </c>
      <c r="I112" s="18"/>
      <c r="J112" s="18">
        <f>'Exh A'!J42</f>
        <v>0</v>
      </c>
      <c r="K112" s="18"/>
      <c r="L112" s="18">
        <f>'Exh A'!L42</f>
        <v>0</v>
      </c>
      <c r="M112" s="14"/>
      <c r="N112" s="18">
        <f t="shared" si="0"/>
        <v>0</v>
      </c>
    </row>
    <row r="113" spans="1:15" x14ac:dyDescent="0.2">
      <c r="A113" s="33"/>
      <c r="B113" s="16" t="s">
        <v>200</v>
      </c>
      <c r="C113" s="14"/>
      <c r="D113" s="18">
        <f>D87</f>
        <v>0</v>
      </c>
      <c r="E113" s="14"/>
      <c r="F113" s="18">
        <f>F87</f>
        <v>0</v>
      </c>
      <c r="G113" s="18"/>
      <c r="H113" s="18">
        <f>H87</f>
        <v>0</v>
      </c>
      <c r="I113" s="18"/>
      <c r="J113" s="18">
        <f>J87</f>
        <v>0</v>
      </c>
      <c r="K113" s="18"/>
      <c r="L113" s="18">
        <f>L87</f>
        <v>0</v>
      </c>
      <c r="M113" s="14"/>
      <c r="N113" s="18">
        <f t="shared" si="0"/>
        <v>0</v>
      </c>
    </row>
    <row r="114" spans="1:15" x14ac:dyDescent="0.2">
      <c r="A114" s="33"/>
      <c r="B114" s="16" t="s">
        <v>201</v>
      </c>
      <c r="C114" s="14"/>
      <c r="D114" s="18">
        <f>D93</f>
        <v>0</v>
      </c>
      <c r="E114" s="14"/>
      <c r="F114" s="18">
        <f>F93</f>
        <v>0</v>
      </c>
      <c r="G114" s="18"/>
      <c r="H114" s="18">
        <f>H93</f>
        <v>0</v>
      </c>
      <c r="I114" s="18"/>
      <c r="J114" s="18">
        <f>J93</f>
        <v>0</v>
      </c>
      <c r="K114" s="18"/>
      <c r="L114" s="18">
        <f>L93</f>
        <v>0</v>
      </c>
      <c r="M114" s="14"/>
      <c r="N114" s="18">
        <f t="shared" si="0"/>
        <v>0</v>
      </c>
    </row>
    <row r="115" spans="1:15" x14ac:dyDescent="0.2">
      <c r="A115" s="33"/>
      <c r="B115" s="16" t="s">
        <v>202</v>
      </c>
      <c r="C115" s="14"/>
      <c r="D115" s="19">
        <f>D99</f>
        <v>0</v>
      </c>
      <c r="E115" s="14"/>
      <c r="F115" s="19">
        <f>F99</f>
        <v>0</v>
      </c>
      <c r="G115" s="18"/>
      <c r="H115" s="19">
        <f>H99</f>
        <v>0</v>
      </c>
      <c r="I115" s="18"/>
      <c r="J115" s="19">
        <f>J99</f>
        <v>0</v>
      </c>
      <c r="K115" s="18"/>
      <c r="L115" s="19">
        <f>L99</f>
        <v>0</v>
      </c>
      <c r="M115" s="14"/>
      <c r="N115" s="18">
        <f t="shared" si="0"/>
        <v>0</v>
      </c>
    </row>
    <row r="116" spans="1:15" x14ac:dyDescent="0.2">
      <c r="A116" s="33"/>
      <c r="B116" s="17" t="s">
        <v>197</v>
      </c>
      <c r="C116" s="14"/>
      <c r="D116" s="20">
        <f>D111-D112-D113-D114+D115</f>
        <v>0</v>
      </c>
      <c r="E116" s="14"/>
      <c r="F116" s="20">
        <f>F111-F112-F113-F114+F115</f>
        <v>0</v>
      </c>
      <c r="G116" s="18"/>
      <c r="H116" s="20">
        <f>H111-H112-H113-H114+H115</f>
        <v>0</v>
      </c>
      <c r="I116" s="18"/>
      <c r="J116" s="20">
        <f>J111-J112-J113-J114+J115</f>
        <v>0</v>
      </c>
      <c r="K116" s="18"/>
      <c r="L116" s="20">
        <f>L111-L112-L113-L114+L115</f>
        <v>0</v>
      </c>
      <c r="M116" s="14"/>
      <c r="N116" s="20">
        <f t="shared" si="0"/>
        <v>0</v>
      </c>
      <c r="O116" s="113" t="str">
        <f>IF(N116&gt;=0,"OK ","ERROR - Cannot be a negative amount. Review adjustments above, especially lines 80-95.")</f>
        <v xml:space="preserve">OK </v>
      </c>
    </row>
    <row r="117" spans="1:15" ht="9.75" customHeight="1" x14ac:dyDescent="0.2">
      <c r="A117" s="33"/>
      <c r="B117" s="17"/>
      <c r="C117" s="14"/>
      <c r="D117" s="18"/>
      <c r="E117" s="14"/>
      <c r="F117" s="18"/>
      <c r="G117" s="18"/>
      <c r="H117" s="18"/>
      <c r="I117" s="18"/>
      <c r="J117" s="18"/>
      <c r="K117" s="18"/>
      <c r="L117" s="18"/>
      <c r="M117" s="14"/>
      <c r="N117" s="18"/>
    </row>
    <row r="118" spans="1:15" x14ac:dyDescent="0.2">
      <c r="A118" s="33"/>
      <c r="B118" s="15" t="s">
        <v>203</v>
      </c>
      <c r="C118" s="14"/>
      <c r="D118" s="18"/>
      <c r="E118" s="14"/>
      <c r="F118" s="18"/>
      <c r="G118" s="18"/>
      <c r="H118" s="18"/>
      <c r="I118" s="18"/>
      <c r="J118" s="18"/>
      <c r="K118" s="18"/>
      <c r="L118" s="18"/>
      <c r="M118" s="14"/>
      <c r="N118" s="18"/>
    </row>
    <row r="119" spans="1:15" x14ac:dyDescent="0.2">
      <c r="A119" s="33"/>
      <c r="B119" s="210" t="s">
        <v>204</v>
      </c>
      <c r="C119" s="211"/>
      <c r="D119" s="212">
        <f>D105</f>
        <v>0</v>
      </c>
      <c r="E119" s="211"/>
      <c r="F119" s="212">
        <f>F105</f>
        <v>0</v>
      </c>
      <c r="G119" s="212"/>
      <c r="H119" s="212">
        <f>H105</f>
        <v>0</v>
      </c>
      <c r="I119" s="212"/>
      <c r="J119" s="212">
        <f>J105</f>
        <v>0</v>
      </c>
      <c r="K119" s="212"/>
      <c r="L119" s="212">
        <f>L105</f>
        <v>0</v>
      </c>
      <c r="M119" s="211"/>
      <c r="N119" s="212">
        <f>D119+F119+H119+J119+L119</f>
        <v>0</v>
      </c>
      <c r="O119" s="149"/>
    </row>
    <row r="120" spans="1:15" x14ac:dyDescent="0.2">
      <c r="A120" s="33"/>
      <c r="B120" s="16" t="s">
        <v>205</v>
      </c>
      <c r="C120" s="14"/>
      <c r="D120" s="18">
        <f>D25</f>
        <v>0</v>
      </c>
      <c r="E120" s="14"/>
      <c r="F120" s="18">
        <f>F25</f>
        <v>0</v>
      </c>
      <c r="G120" s="18"/>
      <c r="H120" s="18">
        <f>H25</f>
        <v>0</v>
      </c>
      <c r="I120" s="18"/>
      <c r="J120" s="18">
        <f>J25</f>
        <v>0</v>
      </c>
      <c r="K120" s="18"/>
      <c r="L120" s="18">
        <f>L25</f>
        <v>0</v>
      </c>
      <c r="M120" s="14"/>
      <c r="N120" s="18">
        <f>D120+F120+H120+J120+L120</f>
        <v>0</v>
      </c>
    </row>
    <row r="121" spans="1:15" x14ac:dyDescent="0.2">
      <c r="A121" s="33"/>
      <c r="B121" s="16" t="s">
        <v>206</v>
      </c>
      <c r="C121" s="14"/>
      <c r="D121" s="18">
        <f>D26</f>
        <v>0</v>
      </c>
      <c r="E121" s="14"/>
      <c r="F121" s="18">
        <f>F26</f>
        <v>0</v>
      </c>
      <c r="G121" s="18"/>
      <c r="H121" s="18">
        <f>H26</f>
        <v>0</v>
      </c>
      <c r="I121" s="18"/>
      <c r="J121" s="18">
        <f>J26</f>
        <v>0</v>
      </c>
      <c r="K121" s="18"/>
      <c r="L121" s="18">
        <f>L26</f>
        <v>0</v>
      </c>
      <c r="M121" s="14"/>
      <c r="N121" s="18">
        <f>D121+F121+H121+J121+L121</f>
        <v>0</v>
      </c>
    </row>
    <row r="122" spans="1:15" x14ac:dyDescent="0.2">
      <c r="A122" s="33"/>
      <c r="B122" s="17" t="s">
        <v>207</v>
      </c>
      <c r="C122" s="14"/>
      <c r="D122" s="20">
        <f>D119-D120-D121</f>
        <v>0</v>
      </c>
      <c r="E122" s="14"/>
      <c r="F122" s="20">
        <f>F119-F120-F121</f>
        <v>0</v>
      </c>
      <c r="G122" s="18"/>
      <c r="H122" s="20">
        <f>H119-H120-H121</f>
        <v>0</v>
      </c>
      <c r="I122" s="18"/>
      <c r="J122" s="20">
        <f>J119-J120-J121</f>
        <v>0</v>
      </c>
      <c r="K122" s="18"/>
      <c r="L122" s="20">
        <f>L119-L120-L121</f>
        <v>0</v>
      </c>
      <c r="M122" s="14"/>
      <c r="N122" s="20">
        <f>D122+F122+H122+J122+L122</f>
        <v>0</v>
      </c>
      <c r="O122" s="113" t="str">
        <f>IF(N122&gt;=0,"OK ","ERROR - Cannot be a negative amount. Review adjustments above, especially lines 25-26.")</f>
        <v xml:space="preserve">OK </v>
      </c>
    </row>
    <row r="123" spans="1:15" ht="9.75" customHeight="1" x14ac:dyDescent="0.2">
      <c r="A123" s="33"/>
      <c r="B123" s="14"/>
      <c r="C123" s="14"/>
      <c r="D123" s="14"/>
      <c r="E123" s="14"/>
      <c r="F123" s="14"/>
      <c r="G123" s="14"/>
      <c r="H123" s="14"/>
      <c r="I123" s="14"/>
      <c r="J123" s="14"/>
      <c r="K123" s="14"/>
      <c r="L123" s="14"/>
      <c r="M123" s="14"/>
      <c r="N123" s="14"/>
    </row>
    <row r="124" spans="1:15" x14ac:dyDescent="0.2">
      <c r="A124" s="33"/>
      <c r="B124" s="22" t="s">
        <v>208</v>
      </c>
      <c r="C124" s="14"/>
      <c r="D124" s="14"/>
      <c r="E124" s="14"/>
      <c r="F124" s="14"/>
      <c r="G124" s="14"/>
      <c r="H124" s="14"/>
      <c r="I124" s="14"/>
      <c r="J124" s="14"/>
      <c r="K124" s="14"/>
      <c r="L124" s="14"/>
      <c r="M124" s="14"/>
      <c r="N124" s="14"/>
    </row>
    <row r="125" spans="1:15" x14ac:dyDescent="0.2">
      <c r="A125" s="33"/>
      <c r="B125" s="16" t="s">
        <v>209</v>
      </c>
      <c r="C125" s="14"/>
      <c r="D125" s="18">
        <f>'Exh A'!D51</f>
        <v>0</v>
      </c>
      <c r="E125" s="14"/>
      <c r="F125" s="18">
        <f>'Exh A'!F51</f>
        <v>0</v>
      </c>
      <c r="G125" s="18"/>
      <c r="H125" s="18">
        <f>'Exh A'!H51</f>
        <v>0</v>
      </c>
      <c r="I125" s="18"/>
      <c r="J125" s="18">
        <f>'Exh A'!J51</f>
        <v>0</v>
      </c>
      <c r="K125" s="18"/>
      <c r="L125" s="18">
        <f>'Exh A'!L51</f>
        <v>0</v>
      </c>
      <c r="M125" s="14"/>
      <c r="N125" s="18">
        <f>D125+F125+H125+J125+L125</f>
        <v>0</v>
      </c>
    </row>
    <row r="126" spans="1:15" x14ac:dyDescent="0.2">
      <c r="A126" s="33"/>
      <c r="B126" s="16" t="s">
        <v>210</v>
      </c>
      <c r="C126" s="14"/>
      <c r="D126" s="18">
        <f>D116</f>
        <v>0</v>
      </c>
      <c r="E126" s="14"/>
      <c r="F126" s="18">
        <f>F116</f>
        <v>0</v>
      </c>
      <c r="G126" s="18"/>
      <c r="H126" s="18">
        <f>H116</f>
        <v>0</v>
      </c>
      <c r="I126" s="18"/>
      <c r="J126" s="18">
        <f>J116</f>
        <v>0</v>
      </c>
      <c r="K126" s="18"/>
      <c r="L126" s="18">
        <f>L116</f>
        <v>0</v>
      </c>
      <c r="M126" s="14"/>
      <c r="N126" s="18">
        <f>D126+F126+H126+J126+L126</f>
        <v>0</v>
      </c>
    </row>
    <row r="127" spans="1:15" x14ac:dyDescent="0.2">
      <c r="A127" s="33"/>
      <c r="B127" s="16" t="s">
        <v>211</v>
      </c>
      <c r="C127" s="14"/>
      <c r="D127" s="18">
        <f>D122</f>
        <v>0</v>
      </c>
      <c r="E127" s="14"/>
      <c r="F127" s="18">
        <f>F122</f>
        <v>0</v>
      </c>
      <c r="G127" s="18"/>
      <c r="H127" s="18">
        <f>H122</f>
        <v>0</v>
      </c>
      <c r="I127" s="18"/>
      <c r="J127" s="18">
        <f>J122</f>
        <v>0</v>
      </c>
      <c r="K127" s="18"/>
      <c r="L127" s="18">
        <f>L122</f>
        <v>0</v>
      </c>
      <c r="M127" s="14"/>
      <c r="N127" s="18">
        <f>D127+F127+H127+J127+L127</f>
        <v>0</v>
      </c>
    </row>
    <row r="128" spans="1:15" x14ac:dyDescent="0.2">
      <c r="A128" s="33"/>
      <c r="B128" s="16" t="s">
        <v>212</v>
      </c>
      <c r="C128" s="14"/>
      <c r="D128" s="19">
        <f>D104</f>
        <v>0</v>
      </c>
      <c r="E128" s="14"/>
      <c r="F128" s="19">
        <f>F104</f>
        <v>0</v>
      </c>
      <c r="G128" s="18"/>
      <c r="H128" s="19">
        <f>H104</f>
        <v>0</v>
      </c>
      <c r="I128" s="18"/>
      <c r="J128" s="19">
        <f>J104</f>
        <v>0</v>
      </c>
      <c r="K128" s="18"/>
      <c r="L128" s="19">
        <f>L104</f>
        <v>0</v>
      </c>
      <c r="M128" s="14"/>
      <c r="N128" s="19">
        <f>D128+F128+H128+J128+L128</f>
        <v>0</v>
      </c>
    </row>
    <row r="129" spans="1:14" x14ac:dyDescent="0.2">
      <c r="A129" s="33"/>
      <c r="B129" s="17" t="s">
        <v>213</v>
      </c>
      <c r="C129" s="14"/>
      <c r="D129" s="20">
        <f>D125-D126-D127-D128</f>
        <v>0</v>
      </c>
      <c r="E129" s="14"/>
      <c r="F129" s="20">
        <f>F125-F126-F127-F128</f>
        <v>0</v>
      </c>
      <c r="G129" s="18"/>
      <c r="H129" s="20">
        <f>H125-H126-H127-H128</f>
        <v>0</v>
      </c>
      <c r="I129" s="18"/>
      <c r="J129" s="20">
        <f>J125-J126-J127-J128</f>
        <v>0</v>
      </c>
      <c r="K129" s="18"/>
      <c r="L129" s="20">
        <f>L125-L126-L127-L128</f>
        <v>0</v>
      </c>
      <c r="M129" s="14"/>
      <c r="N129" s="20">
        <f>D129+F129+H129+J129+L129</f>
        <v>0</v>
      </c>
    </row>
    <row r="130" spans="1:14" ht="12.75" customHeight="1" x14ac:dyDescent="0.2">
      <c r="A130" s="27"/>
    </row>
    <row r="131" spans="1:14" x14ac:dyDescent="0.2">
      <c r="A131" s="25" t="s">
        <v>98</v>
      </c>
    </row>
    <row r="132" spans="1:14" x14ac:dyDescent="0.2">
      <c r="A132" s="27"/>
      <c r="B132" s="25"/>
    </row>
    <row r="133" spans="1:14" x14ac:dyDescent="0.2">
      <c r="A133" s="37" t="s">
        <v>99</v>
      </c>
      <c r="B133" s="151" t="s">
        <v>214</v>
      </c>
    </row>
    <row r="134" spans="1:14" x14ac:dyDescent="0.2">
      <c r="A134" s="27"/>
      <c r="B134" s="151" t="s">
        <v>215</v>
      </c>
    </row>
    <row r="135" spans="1:14" x14ac:dyDescent="0.2">
      <c r="A135" s="27"/>
      <c r="B135" s="151" t="s">
        <v>216</v>
      </c>
    </row>
    <row r="136" spans="1:14" x14ac:dyDescent="0.2">
      <c r="A136" s="27"/>
      <c r="B136" s="151" t="s">
        <v>217</v>
      </c>
    </row>
    <row r="137" spans="1:14" ht="12.75" customHeight="1" x14ac:dyDescent="0.2">
      <c r="A137" s="27"/>
      <c r="B137" s="151" t="s">
        <v>218</v>
      </c>
    </row>
    <row r="138" spans="1:14" ht="12.75" customHeight="1" x14ac:dyDescent="0.2">
      <c r="A138" s="27"/>
      <c r="B138" s="151"/>
    </row>
    <row r="139" spans="1:14" ht="12.75" customHeight="1" x14ac:dyDescent="0.2">
      <c r="A139" s="37" t="s">
        <v>102</v>
      </c>
      <c r="B139" s="151" t="s">
        <v>219</v>
      </c>
    </row>
    <row r="140" spans="1:14" ht="12.75" customHeight="1" x14ac:dyDescent="0.2">
      <c r="A140" s="27"/>
      <c r="B140" s="151" t="s">
        <v>220</v>
      </c>
    </row>
    <row r="141" spans="1:14" ht="8.1" customHeight="1" x14ac:dyDescent="0.2">
      <c r="A141" s="27"/>
      <c r="B141" s="151"/>
    </row>
    <row r="142" spans="1:14" ht="12.75" customHeight="1" x14ac:dyDescent="0.2">
      <c r="A142" s="37" t="s">
        <v>108</v>
      </c>
      <c r="B142" s="151" t="s">
        <v>221</v>
      </c>
    </row>
    <row r="143" spans="1:14" ht="12.75" customHeight="1" x14ac:dyDescent="0.2">
      <c r="A143" s="37"/>
      <c r="B143" s="151" t="s">
        <v>222</v>
      </c>
    </row>
    <row r="144" spans="1:14" ht="12.75" customHeight="1" x14ac:dyDescent="0.2">
      <c r="A144" s="27"/>
      <c r="B144" s="151" t="s">
        <v>223</v>
      </c>
    </row>
    <row r="145" spans="1:2" ht="8.1" customHeight="1" x14ac:dyDescent="0.2">
      <c r="A145" s="27"/>
      <c r="B145" s="151"/>
    </row>
    <row r="146" spans="1:2" ht="12.75" customHeight="1" x14ac:dyDescent="0.2">
      <c r="A146" s="37" t="s">
        <v>111</v>
      </c>
      <c r="B146" s="151" t="s">
        <v>224</v>
      </c>
    </row>
    <row r="147" spans="1:2" ht="12.75" customHeight="1" x14ac:dyDescent="0.2">
      <c r="A147" s="27"/>
      <c r="B147" s="151" t="s">
        <v>225</v>
      </c>
    </row>
    <row r="148" spans="1:2" ht="12.75" customHeight="1" x14ac:dyDescent="0.2">
      <c r="A148" s="27"/>
      <c r="B148" s="151" t="s">
        <v>226</v>
      </c>
    </row>
    <row r="149" spans="1:2" ht="12.75" customHeight="1" x14ac:dyDescent="0.2">
      <c r="A149" s="27"/>
      <c r="B149" s="151" t="s">
        <v>227</v>
      </c>
    </row>
    <row r="150" spans="1:2" ht="12.75" customHeight="1" x14ac:dyDescent="0.2">
      <c r="A150" s="27"/>
      <c r="B150" s="151" t="s">
        <v>228</v>
      </c>
    </row>
    <row r="151" spans="1:2" ht="12.75" customHeight="1" x14ac:dyDescent="0.2">
      <c r="A151" s="27"/>
      <c r="B151" s="151" t="s">
        <v>229</v>
      </c>
    </row>
    <row r="152" spans="1:2" ht="8.1" customHeight="1" x14ac:dyDescent="0.2">
      <c r="A152" s="27"/>
      <c r="B152" s="151"/>
    </row>
    <row r="153" spans="1:2" x14ac:dyDescent="0.2">
      <c r="A153" s="37" t="s">
        <v>115</v>
      </c>
      <c r="B153" t="s">
        <v>230</v>
      </c>
    </row>
    <row r="154" spans="1:2" x14ac:dyDescent="0.2">
      <c r="A154" s="27"/>
      <c r="B154" t="s">
        <v>231</v>
      </c>
    </row>
    <row r="155" spans="1:2" x14ac:dyDescent="0.2">
      <c r="A155" s="27"/>
      <c r="B155" t="s">
        <v>232</v>
      </c>
    </row>
    <row r="156" spans="1:2" x14ac:dyDescent="0.2">
      <c r="A156" s="27"/>
      <c r="B156" t="s">
        <v>233</v>
      </c>
    </row>
    <row r="157" spans="1:2" ht="8.1" customHeight="1" x14ac:dyDescent="0.2">
      <c r="A157" s="27"/>
    </row>
    <row r="158" spans="1:2" x14ac:dyDescent="0.2">
      <c r="A158" s="37" t="s">
        <v>234</v>
      </c>
      <c r="B158" t="s">
        <v>235</v>
      </c>
    </row>
    <row r="159" spans="1:2" x14ac:dyDescent="0.2">
      <c r="B159" t="s">
        <v>236</v>
      </c>
    </row>
    <row r="160" spans="1:2" x14ac:dyDescent="0.2">
      <c r="A160" s="27"/>
      <c r="B160" t="s">
        <v>237</v>
      </c>
    </row>
    <row r="161" spans="1:8" x14ac:dyDescent="0.2">
      <c r="A161" s="27"/>
      <c r="B161" t="s">
        <v>238</v>
      </c>
    </row>
    <row r="162" spans="1:8" x14ac:dyDescent="0.2">
      <c r="A162" s="27"/>
      <c r="B162" t="s">
        <v>239</v>
      </c>
    </row>
    <row r="163" spans="1:8" x14ac:dyDescent="0.2">
      <c r="A163" s="27"/>
      <c r="B163" s="151" t="s">
        <v>240</v>
      </c>
    </row>
    <row r="164" spans="1:8" x14ac:dyDescent="0.2">
      <c r="A164" s="27"/>
      <c r="B164" t="s">
        <v>241</v>
      </c>
    </row>
    <row r="165" spans="1:8" ht="8.1" customHeight="1" x14ac:dyDescent="0.2">
      <c r="A165" s="27"/>
    </row>
    <row r="166" spans="1:8" ht="148.5" customHeight="1" x14ac:dyDescent="0.2">
      <c r="A166" s="209" t="s">
        <v>242</v>
      </c>
      <c r="B166" s="559" t="s">
        <v>243</v>
      </c>
      <c r="C166" s="560"/>
      <c r="D166" s="560"/>
      <c r="E166" s="560"/>
      <c r="F166" s="560"/>
      <c r="G166" s="560"/>
      <c r="H166" s="560"/>
    </row>
    <row r="167" spans="1:8" x14ac:dyDescent="0.2">
      <c r="A167" s="27"/>
    </row>
    <row r="168" spans="1:8" x14ac:dyDescent="0.2">
      <c r="A168" s="241" t="s">
        <v>244</v>
      </c>
      <c r="B168" s="151" t="s">
        <v>245</v>
      </c>
    </row>
    <row r="169" spans="1:8" x14ac:dyDescent="0.2">
      <c r="B169" s="151" t="s">
        <v>246</v>
      </c>
    </row>
  </sheetData>
  <sheetProtection algorithmName="SHA-512" hashValue="xhBty6QBeUwzU0nwpis5fKnhm+TYhqGg0vyiW0yvv44SYkw+jpHCjAvqX9EC8RLkI9HZwGDvyyk7ypkvX6Y/7g==" saltValue="jNsRrX8rnOwAzrAplkTYcA==" spinCount="100000" sheet="1" formatColumns="0" formatRows="0" autoFilter="0"/>
  <mergeCells count="8">
    <mergeCell ref="B166:H166"/>
    <mergeCell ref="A73:B73"/>
    <mergeCell ref="A7:B7"/>
    <mergeCell ref="L4:L6"/>
    <mergeCell ref="D4:D6"/>
    <mergeCell ref="F4:F6"/>
    <mergeCell ref="H4:H6"/>
    <mergeCell ref="J4:J6"/>
  </mergeCells>
  <phoneticPr fontId="0" type="noConversion"/>
  <conditionalFormatting sqref="D20 F20 H20 J20 L20 D28 F28 H28 J28 L28 D34 F34 H34 J34 L34 D40 F40 H40 J40 L40 D46 F46 H46 J46 L46 D58 F58 H58 J58 L58 D64 F64 H64 J64 L64 D71:D72 F71:F72 H71:H72 J71:J72 L71:L72 D80:D83 F80:F83 H80:H83 J80:J83 L80:L83 D90 F90 H90 J90 L90 D96:D98 F96:F98 H96:H98 J96:J98 L96:L98 D106:D108 F108 H108 J108 L108">
    <cfRule type="cellIs" dxfId="75" priority="8" stopIfTrue="1" operator="equal">
      <formula>"ERROR"</formula>
    </cfRule>
  </conditionalFormatting>
  <conditionalFormatting sqref="D52 F52 H52 J52 L52">
    <cfRule type="cellIs" dxfId="74" priority="1" stopIfTrue="1" operator="equal">
      <formula>"ERROR"</formula>
    </cfRule>
  </conditionalFormatting>
  <conditionalFormatting sqref="D102:D103 F102:F106 H102:H106 J102:J106 L102:L106">
    <cfRule type="cellIs" dxfId="73" priority="2" stopIfTrue="1" operator="equal">
      <formula>"ERROR"</formula>
    </cfRule>
  </conditionalFormatting>
  <conditionalFormatting sqref="E107:N107">
    <cfRule type="cellIs" dxfId="72" priority="3" stopIfTrue="1" operator="equal">
      <formula>"ERROR"</formula>
    </cfRule>
  </conditionalFormatting>
  <conditionalFormatting sqref="O89">
    <cfRule type="cellIs" dxfId="71" priority="6" stopIfTrue="1" operator="equal">
      <formula>"See below error - Invested in capital assets"</formula>
    </cfRule>
  </conditionalFormatting>
  <conditionalFormatting sqref="O95 O101">
    <cfRule type="cellIs" dxfId="70" priority="5" stopIfTrue="1" operator="equal">
      <formula>"See below error - Invested in capital assets"</formula>
    </cfRule>
  </conditionalFormatting>
  <conditionalFormatting sqref="O116">
    <cfRule type="cellIs" dxfId="69" priority="7" stopIfTrue="1" operator="equal">
      <formula>"ERROR - Cannot be a negative amount. Review adjustments above, especially lines 80-95."</formula>
    </cfRule>
  </conditionalFormatting>
  <conditionalFormatting sqref="O122">
    <cfRule type="cellIs" dxfId="68" priority="4" stopIfTrue="1" operator="equal">
      <formula>"ERROR - Cannot be a negative amount. Review adjustments above, especially lines 25-26."</formula>
    </cfRule>
  </conditionalFormatting>
  <pageMargins left="0.3" right="0.3" top="0.4" bottom="0.4" header="0.5" footer="0.2"/>
  <pageSetup scale="66" fitToHeight="3" orientation="landscape" r:id="rId1"/>
  <headerFooter alignWithMargins="0">
    <oddFooter>&amp;L&amp;F &amp;A&amp;C&amp;P of &amp;N&amp;R&amp;D</oddFooter>
  </headerFooter>
  <rowBreaks count="2" manualBreakCount="2">
    <brk id="64" max="14" man="1"/>
    <brk id="123" max="16383" man="1"/>
  </rowBreaks>
  <ignoredErrors>
    <ignoredError sqref="N17" unlockedFormula="1"/>
    <ignoredError sqref="A13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D68E-1AC3-4AF7-B3DC-8D60043994CB}">
  <sheetPr codeName="Sheet17"/>
  <dimension ref="A1:P176"/>
  <sheetViews>
    <sheetView topLeftCell="A27" zoomScaleNormal="100" workbookViewId="0">
      <selection activeCell="D12" sqref="D12"/>
    </sheetView>
  </sheetViews>
  <sheetFormatPr defaultRowHeight="12.75" x14ac:dyDescent="0.2"/>
  <cols>
    <col min="1" max="1" width="4.28515625" customWidth="1"/>
    <col min="2" max="2" width="47.5703125" customWidth="1"/>
    <col min="3" max="3" width="0.7109375" customWidth="1"/>
    <col min="4" max="4" width="17.140625" customWidth="1"/>
    <col min="5" max="5" width="0.7109375" customWidth="1"/>
    <col min="6" max="6" width="16" customWidth="1"/>
    <col min="7" max="7" width="0.7109375" customWidth="1"/>
    <col min="8" max="8" width="17" customWidth="1"/>
    <col min="9" max="9" width="0.7109375" customWidth="1"/>
    <col min="10" max="10" width="17" customWidth="1"/>
    <col min="11" max="11" width="0.7109375" customWidth="1"/>
    <col min="12" max="12" width="16.140625" customWidth="1"/>
    <col min="13" max="13" width="0.7109375" customWidth="1"/>
    <col min="14" max="14" width="16.5703125" customWidth="1"/>
    <col min="15" max="15" width="4" customWidth="1"/>
    <col min="16" max="16" width="14.85546875" customWidth="1"/>
  </cols>
  <sheetData>
    <row r="1" spans="1:14" x14ac:dyDescent="0.2">
      <c r="A1" s="1" t="str">
        <f>CONCATENATE(Info!D7," Foundations")</f>
        <v>UNC System Office Foundations</v>
      </c>
      <c r="N1" s="31" t="s">
        <v>154</v>
      </c>
    </row>
    <row r="2" spans="1:14" x14ac:dyDescent="0.2">
      <c r="A2" s="1" t="s">
        <v>155</v>
      </c>
    </row>
    <row r="3" spans="1:14" x14ac:dyDescent="0.2">
      <c r="A3" s="150" t="s">
        <v>53</v>
      </c>
    </row>
    <row r="4" spans="1:14" x14ac:dyDescent="0.2">
      <c r="D4" s="557" t="str">
        <f>Info!$D$17</f>
        <v>Name of Foundation</v>
      </c>
      <c r="F4" s="557">
        <f>Info!$D$19</f>
        <v>0</v>
      </c>
      <c r="H4" s="557">
        <f>Info!$D$21</f>
        <v>0</v>
      </c>
      <c r="J4" s="557">
        <f>Info!$D$23</f>
        <v>0</v>
      </c>
      <c r="L4" s="557">
        <f>Info!$D$25</f>
        <v>0</v>
      </c>
    </row>
    <row r="5" spans="1:14" x14ac:dyDescent="0.2">
      <c r="D5" s="557"/>
      <c r="F5" s="557"/>
      <c r="G5" s="27"/>
      <c r="H5" s="557"/>
      <c r="I5" s="27"/>
      <c r="J5" s="557"/>
      <c r="K5" s="27"/>
      <c r="L5" s="557"/>
      <c r="M5" s="27"/>
      <c r="N5" s="27"/>
    </row>
    <row r="6" spans="1:14" x14ac:dyDescent="0.2">
      <c r="D6" s="558"/>
      <c r="F6" s="558"/>
      <c r="G6" s="451"/>
      <c r="H6" s="558"/>
      <c r="I6" s="451"/>
      <c r="J6" s="558"/>
      <c r="K6" s="27"/>
      <c r="L6" s="558"/>
      <c r="M6" s="451"/>
      <c r="N6" s="4" t="s">
        <v>54</v>
      </c>
    </row>
    <row r="7" spans="1:14" ht="14.25" x14ac:dyDescent="0.2">
      <c r="A7" s="561" t="s">
        <v>157</v>
      </c>
      <c r="B7" s="561"/>
      <c r="D7" s="27"/>
      <c r="F7" s="27"/>
      <c r="G7" s="451"/>
      <c r="H7" s="27"/>
      <c r="I7" s="451"/>
      <c r="J7" s="27"/>
      <c r="K7" s="27"/>
      <c r="L7" s="27"/>
      <c r="M7" s="451"/>
      <c r="N7" s="27"/>
    </row>
    <row r="8" spans="1:14" x14ac:dyDescent="0.2">
      <c r="D8" s="27"/>
      <c r="F8" s="27"/>
      <c r="G8" s="451"/>
      <c r="H8" s="27"/>
      <c r="I8" s="451"/>
      <c r="J8" s="27"/>
      <c r="K8" s="27"/>
      <c r="L8" s="27"/>
      <c r="M8" s="451"/>
      <c r="N8" s="27"/>
    </row>
    <row r="9" spans="1:14" x14ac:dyDescent="0.2">
      <c r="B9" s="1" t="s">
        <v>58</v>
      </c>
      <c r="D9" s="27"/>
      <c r="F9" s="27"/>
      <c r="G9" s="451"/>
      <c r="H9" s="27"/>
      <c r="I9" s="451"/>
      <c r="J9" s="27"/>
      <c r="K9" s="27"/>
      <c r="L9" s="27"/>
      <c r="M9" s="451"/>
      <c r="N9" s="27"/>
    </row>
    <row r="10" spans="1:14" ht="14.25" x14ac:dyDescent="0.2">
      <c r="B10" s="151" t="s">
        <v>158</v>
      </c>
      <c r="D10" s="49"/>
      <c r="E10" s="73"/>
      <c r="F10" s="49"/>
      <c r="G10" s="160"/>
      <c r="H10" s="49"/>
      <c r="I10" s="160"/>
      <c r="J10" s="49"/>
      <c r="K10" s="74"/>
      <c r="L10" s="49"/>
      <c r="M10" s="451"/>
      <c r="N10" s="9"/>
    </row>
    <row r="11" spans="1:14" x14ac:dyDescent="0.2">
      <c r="A11" s="32">
        <v>130</v>
      </c>
      <c r="B11" s="3" t="s">
        <v>159</v>
      </c>
      <c r="D11" s="49">
        <v>0</v>
      </c>
      <c r="E11" s="73"/>
      <c r="F11" s="49">
        <v>0</v>
      </c>
      <c r="G11" s="160"/>
      <c r="H11" s="49">
        <v>0</v>
      </c>
      <c r="I11" s="160"/>
      <c r="J11" s="49">
        <v>0</v>
      </c>
      <c r="K11" s="74"/>
      <c r="L11" s="49">
        <v>0</v>
      </c>
      <c r="M11" s="451"/>
      <c r="N11" s="9">
        <f>D11+F11+H11+J11+L11</f>
        <v>0</v>
      </c>
    </row>
    <row r="12" spans="1:14" x14ac:dyDescent="0.2">
      <c r="A12" s="32">
        <v>105</v>
      </c>
      <c r="B12" s="3" t="s">
        <v>160</v>
      </c>
      <c r="D12" s="50">
        <v>0</v>
      </c>
      <c r="F12" s="50">
        <v>0</v>
      </c>
      <c r="G12" s="451"/>
      <c r="H12" s="50">
        <v>0</v>
      </c>
      <c r="I12" s="451"/>
      <c r="J12" s="50">
        <v>0</v>
      </c>
      <c r="K12" s="27"/>
      <c r="L12" s="50">
        <v>0</v>
      </c>
      <c r="M12" s="451"/>
      <c r="N12" s="6">
        <f>D12+F12+H12+J12+L12</f>
        <v>0</v>
      </c>
    </row>
    <row r="13" spans="1:14" ht="14.25" x14ac:dyDescent="0.2">
      <c r="B13" s="151" t="s">
        <v>161</v>
      </c>
      <c r="D13" s="27"/>
      <c r="F13" s="27"/>
      <c r="G13" s="451"/>
      <c r="H13" s="27"/>
      <c r="I13" s="451"/>
      <c r="J13" s="27"/>
      <c r="K13" s="27"/>
      <c r="L13" s="27"/>
      <c r="M13" s="451"/>
      <c r="N13" s="27"/>
    </row>
    <row r="14" spans="1:14" x14ac:dyDescent="0.2">
      <c r="A14" s="32">
        <v>130</v>
      </c>
      <c r="B14" s="3" t="s">
        <v>159</v>
      </c>
      <c r="D14" s="50">
        <v>0</v>
      </c>
      <c r="F14" s="50">
        <v>0</v>
      </c>
      <c r="G14" s="451"/>
      <c r="H14" s="50">
        <v>0</v>
      </c>
      <c r="I14" s="451"/>
      <c r="J14" s="50">
        <v>0</v>
      </c>
      <c r="K14" s="27"/>
      <c r="L14" s="50">
        <v>0</v>
      </c>
      <c r="M14" s="451"/>
      <c r="N14" s="6">
        <f>D14+F14+H14+J14+L14</f>
        <v>0</v>
      </c>
    </row>
    <row r="15" spans="1:14" x14ac:dyDescent="0.2">
      <c r="A15" s="32">
        <v>105</v>
      </c>
      <c r="B15" s="3" t="s">
        <v>160</v>
      </c>
      <c r="D15" s="50">
        <v>0</v>
      </c>
      <c r="F15" s="50">
        <v>0</v>
      </c>
      <c r="G15" s="451"/>
      <c r="H15" s="50">
        <v>0</v>
      </c>
      <c r="I15" s="451"/>
      <c r="J15" s="50">
        <v>0</v>
      </c>
      <c r="K15" s="27"/>
      <c r="L15" s="50">
        <v>0</v>
      </c>
      <c r="M15" s="451"/>
      <c r="N15" s="6">
        <f>D15+F15+H15+J15+L15</f>
        <v>0</v>
      </c>
    </row>
    <row r="16" spans="1:14" x14ac:dyDescent="0.2">
      <c r="B16" s="151" t="s">
        <v>162</v>
      </c>
      <c r="D16" s="27"/>
      <c r="F16" s="27"/>
      <c r="G16" s="451"/>
      <c r="H16" s="27"/>
      <c r="I16" s="451"/>
      <c r="J16" s="27"/>
      <c r="K16" s="27"/>
      <c r="L16" s="27"/>
      <c r="M16" s="451"/>
      <c r="N16" s="27"/>
    </row>
    <row r="17" spans="1:14" x14ac:dyDescent="0.2">
      <c r="A17" s="33">
        <v>130</v>
      </c>
      <c r="B17" s="3" t="s">
        <v>159</v>
      </c>
      <c r="D17" s="50">
        <v>0</v>
      </c>
      <c r="F17" s="50">
        <v>0</v>
      </c>
      <c r="G17" s="451"/>
      <c r="H17" s="50">
        <v>0</v>
      </c>
      <c r="I17" s="451"/>
      <c r="J17" s="50">
        <v>0</v>
      </c>
      <c r="K17" s="27"/>
      <c r="L17" s="50">
        <v>0</v>
      </c>
      <c r="M17" s="451"/>
      <c r="N17" s="50">
        <f>D17+F17+H17+J17+L17</f>
        <v>0</v>
      </c>
    </row>
    <row r="18" spans="1:14" x14ac:dyDescent="0.2">
      <c r="A18" s="33">
        <v>105</v>
      </c>
      <c r="B18" s="3" t="s">
        <v>160</v>
      </c>
      <c r="D18" s="50">
        <v>0</v>
      </c>
      <c r="F18" s="50">
        <v>0</v>
      </c>
      <c r="G18" s="451"/>
      <c r="H18" s="50">
        <v>0</v>
      </c>
      <c r="I18" s="451"/>
      <c r="J18" s="50">
        <v>0</v>
      </c>
      <c r="K18" s="27"/>
      <c r="L18" s="50">
        <v>0</v>
      </c>
      <c r="M18" s="451"/>
      <c r="N18" s="7">
        <f>D18+F18+H18+J18+L18</f>
        <v>0</v>
      </c>
    </row>
    <row r="19" spans="1:14" x14ac:dyDescent="0.2">
      <c r="B19" s="24" t="s">
        <v>54</v>
      </c>
      <c r="D19" s="36">
        <f>SUM(D11:D18)</f>
        <v>0</v>
      </c>
      <c r="F19" s="36">
        <f>SUM(F11:F18)</f>
        <v>0</v>
      </c>
      <c r="G19" s="451"/>
      <c r="H19" s="36">
        <f>SUM(H11:H18)</f>
        <v>0</v>
      </c>
      <c r="I19" s="451"/>
      <c r="J19" s="36">
        <f>SUM(J11:J18)</f>
        <v>0</v>
      </c>
      <c r="K19" s="27"/>
      <c r="L19" s="36">
        <f>SUM(L11:L18)</f>
        <v>0</v>
      </c>
      <c r="M19" s="451"/>
      <c r="N19" s="8">
        <f>D19+F19+H19+J19+L19</f>
        <v>0</v>
      </c>
    </row>
    <row r="20" spans="1:14" x14ac:dyDescent="0.2">
      <c r="B20" s="23" t="s">
        <v>163</v>
      </c>
      <c r="D20" s="43" t="str">
        <f>IF(D19='Exh A'!D10,"OK","ERROR")</f>
        <v>OK</v>
      </c>
      <c r="F20" s="43" t="str">
        <f>IF(F19='Exh A'!F10,"OK","ERROR")</f>
        <v>OK</v>
      </c>
      <c r="G20" s="451"/>
      <c r="H20" s="43" t="str">
        <f>IF(H19='Exh A'!H10,"OK","ERROR")</f>
        <v>OK</v>
      </c>
      <c r="I20" s="451"/>
      <c r="J20" s="43" t="str">
        <f>IF(J19='Exh A'!J10,"OK","ERROR")</f>
        <v>OK</v>
      </c>
      <c r="K20" s="27"/>
      <c r="L20" s="43" t="str">
        <f>IF(L19='Exh A'!L10,"OK","ERROR")</f>
        <v>OK</v>
      </c>
      <c r="M20" s="451"/>
      <c r="N20" s="27"/>
    </row>
    <row r="21" spans="1:14" x14ac:dyDescent="0.2">
      <c r="D21" s="27"/>
      <c r="F21" s="27"/>
      <c r="G21" s="451"/>
      <c r="H21" s="27"/>
      <c r="I21" s="451"/>
      <c r="J21" s="27"/>
      <c r="K21" s="27"/>
      <c r="L21" s="27"/>
      <c r="M21" s="451"/>
      <c r="N21" s="27"/>
    </row>
    <row r="22" spans="1:14" ht="14.25" x14ac:dyDescent="0.2">
      <c r="B22" s="1" t="s">
        <v>164</v>
      </c>
      <c r="D22" s="27"/>
      <c r="F22" s="27"/>
      <c r="G22" s="451"/>
      <c r="H22" s="27"/>
      <c r="I22" s="451"/>
      <c r="J22" s="27"/>
      <c r="K22" s="27"/>
      <c r="L22" s="27"/>
      <c r="M22" s="451"/>
      <c r="N22" s="27"/>
    </row>
    <row r="23" spans="1:14" x14ac:dyDescent="0.2">
      <c r="A23" s="33">
        <v>140</v>
      </c>
      <c r="B23" s="3" t="s">
        <v>165</v>
      </c>
      <c r="D23" s="50">
        <v>0</v>
      </c>
      <c r="F23" s="50">
        <v>0</v>
      </c>
      <c r="G23" s="451"/>
      <c r="H23" s="50">
        <v>0</v>
      </c>
      <c r="I23" s="451"/>
      <c r="J23" s="50">
        <v>0</v>
      </c>
      <c r="K23" s="27"/>
      <c r="L23" s="50">
        <v>0</v>
      </c>
      <c r="M23" s="451"/>
      <c r="N23" s="6">
        <f>D23+F23+H23+J23+L23</f>
        <v>0</v>
      </c>
    </row>
    <row r="24" spans="1:14" x14ac:dyDescent="0.2">
      <c r="A24" s="33">
        <v>145</v>
      </c>
      <c r="B24" s="3" t="s">
        <v>166</v>
      </c>
      <c r="D24" s="50">
        <v>0</v>
      </c>
      <c r="F24" s="50">
        <v>0</v>
      </c>
      <c r="G24" s="451"/>
      <c r="H24" s="50">
        <v>0</v>
      </c>
      <c r="I24" s="451"/>
      <c r="J24" s="50">
        <v>0</v>
      </c>
      <c r="K24" s="27"/>
      <c r="L24" s="50">
        <v>0</v>
      </c>
      <c r="M24" s="451"/>
      <c r="N24" s="6">
        <f>D24+F24+H24+J24+L24</f>
        <v>0</v>
      </c>
    </row>
    <row r="25" spans="1:14" x14ac:dyDescent="0.2">
      <c r="A25" s="33">
        <v>140</v>
      </c>
      <c r="B25" s="3" t="s">
        <v>167</v>
      </c>
      <c r="D25" s="50">
        <v>0</v>
      </c>
      <c r="F25" s="50">
        <v>0</v>
      </c>
      <c r="G25" s="451"/>
      <c r="H25" s="50">
        <v>0</v>
      </c>
      <c r="I25" s="451"/>
      <c r="J25" s="50">
        <v>0</v>
      </c>
      <c r="K25" s="27"/>
      <c r="L25" s="50">
        <v>0</v>
      </c>
      <c r="M25" s="451"/>
      <c r="N25" s="6">
        <f>D25+F25+H25+J25+L25</f>
        <v>0</v>
      </c>
    </row>
    <row r="26" spans="1:14" x14ac:dyDescent="0.2">
      <c r="A26" s="33">
        <v>145</v>
      </c>
      <c r="B26" s="3" t="s">
        <v>168</v>
      </c>
      <c r="D26" s="50">
        <v>0</v>
      </c>
      <c r="F26" s="51">
        <v>0</v>
      </c>
      <c r="G26" s="451"/>
      <c r="H26" s="51">
        <v>0</v>
      </c>
      <c r="I26" s="451"/>
      <c r="J26" s="51">
        <v>0</v>
      </c>
      <c r="K26" s="27"/>
      <c r="L26" s="51">
        <v>0</v>
      </c>
      <c r="M26" s="451"/>
      <c r="N26" s="7">
        <f>D26+F26+H26+J26+L26</f>
        <v>0</v>
      </c>
    </row>
    <row r="27" spans="1:14" x14ac:dyDescent="0.2">
      <c r="A27" s="33"/>
      <c r="B27" s="24" t="s">
        <v>54</v>
      </c>
      <c r="D27" s="36">
        <f>SUM(D23:D26)</f>
        <v>0</v>
      </c>
      <c r="F27" s="36">
        <f>SUM(F23:F26)</f>
        <v>0</v>
      </c>
      <c r="G27" s="451"/>
      <c r="H27" s="36">
        <f>SUM(H23:H26)</f>
        <v>0</v>
      </c>
      <c r="I27" s="451"/>
      <c r="J27" s="36">
        <f>SUM(J23:J26)</f>
        <v>0</v>
      </c>
      <c r="K27" s="27"/>
      <c r="L27" s="36">
        <f>SUM(L23:L26)</f>
        <v>0</v>
      </c>
      <c r="M27" s="451"/>
      <c r="N27" s="8">
        <f>D27+F27+H27+J27+L27</f>
        <v>0</v>
      </c>
    </row>
    <row r="28" spans="1:14" x14ac:dyDescent="0.2">
      <c r="A28" s="33"/>
      <c r="B28" s="23" t="s">
        <v>163</v>
      </c>
      <c r="D28" s="43" t="str">
        <f>IF(D27='Exh A'!D27,"OK","ERROR")</f>
        <v>OK</v>
      </c>
      <c r="E28" s="44"/>
      <c r="F28" s="43" t="str">
        <f>IF(F27='Exh A'!F27,"OK","ERROR")</f>
        <v>OK</v>
      </c>
      <c r="G28" s="45"/>
      <c r="H28" s="43" t="str">
        <f>IF(H27='Exh A'!H27,"OK","ERROR")</f>
        <v>OK</v>
      </c>
      <c r="I28" s="45"/>
      <c r="J28" s="43" t="str">
        <f>IF(J27='Exh A'!J27,"OK","ERROR")</f>
        <v>OK</v>
      </c>
      <c r="K28" s="45"/>
      <c r="L28" s="43" t="str">
        <f>IF(L27='Exh A'!L27,"OK","ERROR")</f>
        <v>OK</v>
      </c>
      <c r="M28" s="451"/>
      <c r="N28" s="27"/>
    </row>
    <row r="29" spans="1:14" x14ac:dyDescent="0.2">
      <c r="A29" s="33"/>
      <c r="B29" s="23"/>
      <c r="D29" s="27"/>
      <c r="F29" s="27"/>
      <c r="G29" s="451"/>
      <c r="H29" s="27"/>
      <c r="I29" s="451"/>
      <c r="J29" s="27"/>
      <c r="K29" s="27"/>
      <c r="L29" s="27"/>
      <c r="M29" s="451"/>
      <c r="N29" s="27"/>
    </row>
    <row r="30" spans="1:14" x14ac:dyDescent="0.2">
      <c r="A30" s="33"/>
      <c r="B30" s="1" t="s">
        <v>86</v>
      </c>
    </row>
    <row r="31" spans="1:14" x14ac:dyDescent="0.2">
      <c r="A31" s="33">
        <v>260</v>
      </c>
      <c r="B31" s="3" t="s">
        <v>169</v>
      </c>
      <c r="D31" s="50">
        <v>0</v>
      </c>
      <c r="F31" s="52">
        <v>0</v>
      </c>
      <c r="G31" s="12"/>
      <c r="H31" s="52">
        <v>0</v>
      </c>
      <c r="I31" s="12"/>
      <c r="J31" s="52">
        <v>0</v>
      </c>
      <c r="K31" s="12"/>
      <c r="L31" s="52">
        <v>0</v>
      </c>
      <c r="N31" s="6">
        <f>D31+F31+H31+J31+L31</f>
        <v>0</v>
      </c>
    </row>
    <row r="32" spans="1:14" x14ac:dyDescent="0.2">
      <c r="A32" s="33">
        <v>261</v>
      </c>
      <c r="B32" s="3" t="s">
        <v>170</v>
      </c>
      <c r="D32" s="51">
        <v>0</v>
      </c>
      <c r="F32" s="53">
        <v>0</v>
      </c>
      <c r="G32" s="12"/>
      <c r="H32" s="53">
        <v>0</v>
      </c>
      <c r="I32" s="12"/>
      <c r="J32" s="53">
        <v>0</v>
      </c>
      <c r="K32" s="12"/>
      <c r="L32" s="53">
        <v>0</v>
      </c>
      <c r="N32" s="7">
        <f>D32+F32+H32+J32+L32</f>
        <v>0</v>
      </c>
    </row>
    <row r="33" spans="1:16" x14ac:dyDescent="0.2">
      <c r="A33" s="33"/>
      <c r="B33" s="24" t="s">
        <v>54</v>
      </c>
      <c r="D33" s="10">
        <f>SUM(D31:D32)</f>
        <v>0</v>
      </c>
      <c r="F33" s="10">
        <f>SUM(F31:F32)</f>
        <v>0</v>
      </c>
      <c r="G33" s="12"/>
      <c r="H33" s="10">
        <f>SUM(H31:H32)</f>
        <v>0</v>
      </c>
      <c r="I33" s="12"/>
      <c r="J33" s="10">
        <f>SUM(J31:J32)</f>
        <v>0</v>
      </c>
      <c r="K33" s="12"/>
      <c r="L33" s="10">
        <f>SUM(L31:L32)</f>
        <v>0</v>
      </c>
      <c r="N33" s="8">
        <f>D33+F33+H33+J33+L33</f>
        <v>0</v>
      </c>
    </row>
    <row r="34" spans="1:16" x14ac:dyDescent="0.2">
      <c r="A34" s="33"/>
      <c r="B34" s="23" t="s">
        <v>163</v>
      </c>
      <c r="D34" s="43" t="str">
        <f>IF(D33='Exh A'!D40,"OK","ERROR")</f>
        <v>OK</v>
      </c>
      <c r="F34" s="43" t="str">
        <f>IF(F33='Exh A'!F40,"OK","ERROR")</f>
        <v>OK</v>
      </c>
      <c r="H34" s="43" t="str">
        <f>IF(H33='Exh A'!H40,"OK","ERROR")</f>
        <v>OK</v>
      </c>
      <c r="J34" s="43" t="str">
        <f>IF(J33='Exh A'!J40,"OK","ERROR")</f>
        <v>OK</v>
      </c>
      <c r="L34" s="43" t="str">
        <f>IF(L33='Exh A'!L40,"OK","ERROR")</f>
        <v>OK</v>
      </c>
    </row>
    <row r="35" spans="1:16" x14ac:dyDescent="0.2">
      <c r="A35" s="33"/>
      <c r="B35" s="23"/>
      <c r="D35" s="27"/>
      <c r="F35" s="27"/>
      <c r="G35" s="451"/>
      <c r="H35" s="27"/>
      <c r="I35" s="451"/>
      <c r="J35" s="27"/>
      <c r="K35" s="27"/>
      <c r="L35" s="27"/>
      <c r="M35" s="451"/>
      <c r="N35" s="27"/>
    </row>
    <row r="36" spans="1:16" x14ac:dyDescent="0.2">
      <c r="A36" s="33"/>
      <c r="B36" s="1" t="s">
        <v>87</v>
      </c>
    </row>
    <row r="37" spans="1:16" x14ac:dyDescent="0.2">
      <c r="A37" s="33">
        <v>260</v>
      </c>
      <c r="B37" s="3" t="s">
        <v>169</v>
      </c>
      <c r="D37" s="328">
        <v>0</v>
      </c>
      <c r="F37" s="52">
        <v>0</v>
      </c>
      <c r="G37" s="12"/>
      <c r="H37" s="52">
        <v>0</v>
      </c>
      <c r="I37" s="12"/>
      <c r="J37" s="52">
        <v>0</v>
      </c>
      <c r="K37" s="12"/>
      <c r="L37" s="52">
        <v>0</v>
      </c>
      <c r="N37" s="6">
        <f>D37+F37+H37+J37+L37</f>
        <v>0</v>
      </c>
    </row>
    <row r="38" spans="1:16" x14ac:dyDescent="0.2">
      <c r="A38" s="33">
        <v>261</v>
      </c>
      <c r="B38" s="3" t="s">
        <v>170</v>
      </c>
      <c r="D38" s="51">
        <v>0</v>
      </c>
      <c r="F38" s="53">
        <v>0</v>
      </c>
      <c r="G38" s="12"/>
      <c r="H38" s="53">
        <v>0</v>
      </c>
      <c r="I38" s="12"/>
      <c r="J38" s="53">
        <v>0</v>
      </c>
      <c r="K38" s="12"/>
      <c r="L38" s="53">
        <v>0</v>
      </c>
      <c r="N38" s="7">
        <f>D38+F38+H38+J38+L38</f>
        <v>0</v>
      </c>
    </row>
    <row r="39" spans="1:16" x14ac:dyDescent="0.2">
      <c r="A39" s="33"/>
      <c r="B39" s="24" t="s">
        <v>54</v>
      </c>
      <c r="D39" s="10">
        <f>SUM(D37:D38)</f>
        <v>0</v>
      </c>
      <c r="F39" s="10">
        <f>SUM(F37:F38)</f>
        <v>0</v>
      </c>
      <c r="G39" s="12"/>
      <c r="H39" s="10">
        <f>SUM(H37:H38)</f>
        <v>0</v>
      </c>
      <c r="I39" s="12"/>
      <c r="J39" s="10">
        <f>SUM(J37:J38)</f>
        <v>0</v>
      </c>
      <c r="K39" s="12"/>
      <c r="L39" s="10">
        <f>SUM(L37:L38)</f>
        <v>0</v>
      </c>
      <c r="N39" s="8">
        <f>D39+F39+H39+J39+L39</f>
        <v>0</v>
      </c>
    </row>
    <row r="40" spans="1:16" x14ac:dyDescent="0.2">
      <c r="A40" s="33"/>
      <c r="B40" s="23" t="s">
        <v>163</v>
      </c>
      <c r="D40" s="43" t="str">
        <f>IF(D39='Exh A'!D41,"OK","ERROR")</f>
        <v>OK</v>
      </c>
      <c r="F40" s="43" t="str">
        <f>IF(F39='Exh A'!F41,"OK","ERROR")</f>
        <v>OK</v>
      </c>
      <c r="H40" s="43" t="str">
        <f>IF(H39='Exh A'!H41,"OK","ERROR")</f>
        <v>OK</v>
      </c>
      <c r="J40" s="43" t="str">
        <f>IF(J39='Exh A'!J41,"OK","ERROR")</f>
        <v>OK</v>
      </c>
      <c r="L40" s="43" t="str">
        <f>IF(L39='Exh A'!L41,"OK","ERROR")</f>
        <v>OK</v>
      </c>
    </row>
    <row r="41" spans="1:16" x14ac:dyDescent="0.2">
      <c r="A41" s="33"/>
      <c r="B41" s="23"/>
    </row>
    <row r="42" spans="1:16" x14ac:dyDescent="0.2">
      <c r="A42" s="33"/>
      <c r="B42" s="1" t="s">
        <v>171</v>
      </c>
    </row>
    <row r="43" spans="1:16" x14ac:dyDescent="0.2">
      <c r="A43" s="33">
        <v>260</v>
      </c>
      <c r="B43" s="3" t="s">
        <v>169</v>
      </c>
      <c r="D43" s="50">
        <v>0</v>
      </c>
      <c r="F43" s="52">
        <v>0</v>
      </c>
      <c r="G43" s="6"/>
      <c r="H43" s="52">
        <v>0</v>
      </c>
      <c r="I43" s="6"/>
      <c r="J43" s="52">
        <v>0</v>
      </c>
      <c r="K43" s="6"/>
      <c r="L43" s="52">
        <v>0</v>
      </c>
      <c r="N43" s="12">
        <f>D43+F43+H43+J43+L43</f>
        <v>0</v>
      </c>
    </row>
    <row r="44" spans="1:16" x14ac:dyDescent="0.2">
      <c r="A44" s="33">
        <v>261</v>
      </c>
      <c r="B44" s="3" t="s">
        <v>170</v>
      </c>
      <c r="D44" s="50">
        <v>0</v>
      </c>
      <c r="F44" s="51">
        <v>0</v>
      </c>
      <c r="G44" s="6"/>
      <c r="H44" s="51">
        <v>0</v>
      </c>
      <c r="I44" s="6"/>
      <c r="J44" s="51">
        <v>0</v>
      </c>
      <c r="K44" s="6"/>
      <c r="L44" s="51">
        <v>0</v>
      </c>
      <c r="N44" s="7">
        <f>D44+F44+H44+J44+L44</f>
        <v>0</v>
      </c>
    </row>
    <row r="45" spans="1:16" x14ac:dyDescent="0.2">
      <c r="A45" s="33"/>
      <c r="B45" s="24" t="s">
        <v>54</v>
      </c>
      <c r="D45" s="21">
        <f>SUM(D43:D44)</f>
        <v>0</v>
      </c>
      <c r="F45" s="21">
        <f>SUM(F43:F44)</f>
        <v>0</v>
      </c>
      <c r="G45" s="12"/>
      <c r="H45" s="21">
        <f>SUM(H43:H44)</f>
        <v>0</v>
      </c>
      <c r="I45" s="12"/>
      <c r="J45" s="21">
        <f>SUM(J43:J44)</f>
        <v>0</v>
      </c>
      <c r="K45" s="12"/>
      <c r="L45" s="21">
        <f>SUM(L43:L44)</f>
        <v>0</v>
      </c>
      <c r="N45" s="8">
        <f>D45+F45+H45+J45+L45</f>
        <v>0</v>
      </c>
    </row>
    <row r="46" spans="1:16" x14ac:dyDescent="0.2">
      <c r="A46" s="33"/>
      <c r="B46" s="23" t="s">
        <v>163</v>
      </c>
      <c r="D46" s="43" t="str">
        <f>IF(D45='Exh A'!D42,"OK","ERROR")</f>
        <v>OK</v>
      </c>
      <c r="F46" s="43" t="str">
        <f>IF(F45='Exh A'!F42,"OK","ERROR")</f>
        <v>OK</v>
      </c>
      <c r="H46" s="43" t="str">
        <f>IF(H45='Exh A'!H42,"OK","ERROR")</f>
        <v>OK</v>
      </c>
      <c r="J46" s="43" t="str">
        <f>IF(J45='Exh A'!J42,"OK","ERROR")</f>
        <v>OK</v>
      </c>
      <c r="L46" s="43" t="str">
        <f>IF(L45='Exh A'!L42,"OK","ERROR")</f>
        <v>OK</v>
      </c>
    </row>
    <row r="47" spans="1:16" x14ac:dyDescent="0.2">
      <c r="A47" s="33"/>
      <c r="B47" s="23"/>
    </row>
    <row r="48" spans="1:16" x14ac:dyDescent="0.2">
      <c r="A48" s="33"/>
      <c r="B48" s="1" t="s">
        <v>89</v>
      </c>
      <c r="P48" s="141"/>
    </row>
    <row r="49" spans="1:16" x14ac:dyDescent="0.2">
      <c r="A49" s="33">
        <v>260</v>
      </c>
      <c r="B49" s="214" t="s">
        <v>169</v>
      </c>
      <c r="D49" s="52">
        <v>0</v>
      </c>
      <c r="F49" s="52">
        <v>0</v>
      </c>
      <c r="G49" s="6"/>
      <c r="H49" s="52">
        <v>0</v>
      </c>
      <c r="I49" s="6"/>
      <c r="J49" s="52">
        <v>0</v>
      </c>
      <c r="K49" s="6"/>
      <c r="L49" s="52">
        <v>0</v>
      </c>
      <c r="N49" s="12">
        <f>D49+F49+H49+J49+L49</f>
        <v>0</v>
      </c>
      <c r="P49" s="141"/>
    </row>
    <row r="50" spans="1:16" x14ac:dyDescent="0.2">
      <c r="A50" s="33">
        <v>261</v>
      </c>
      <c r="B50" s="214" t="s">
        <v>170</v>
      </c>
      <c r="D50" s="51">
        <v>0</v>
      </c>
      <c r="F50" s="51">
        <v>0</v>
      </c>
      <c r="G50" s="6"/>
      <c r="H50" s="51">
        <v>0</v>
      </c>
      <c r="I50" s="6"/>
      <c r="J50" s="51">
        <v>0</v>
      </c>
      <c r="K50" s="6"/>
      <c r="L50" s="51">
        <v>0</v>
      </c>
      <c r="N50" s="7">
        <f>D50+F50+H50+J50+L50</f>
        <v>0</v>
      </c>
    </row>
    <row r="51" spans="1:16" x14ac:dyDescent="0.2">
      <c r="A51" s="33"/>
      <c r="B51" s="24" t="s">
        <v>54</v>
      </c>
      <c r="D51" s="21">
        <f>SUM(D49:D50)</f>
        <v>0</v>
      </c>
      <c r="F51" s="21">
        <f>SUM(F49:F50)</f>
        <v>0</v>
      </c>
      <c r="G51" s="12"/>
      <c r="H51" s="21">
        <f>SUM(H49:H50)</f>
        <v>0</v>
      </c>
      <c r="I51" s="12"/>
      <c r="J51" s="21">
        <f>SUM(J49:J50)</f>
        <v>0</v>
      </c>
      <c r="K51" s="12"/>
      <c r="L51" s="21">
        <f>SUM(L49:L50)</f>
        <v>0</v>
      </c>
      <c r="N51" s="8">
        <f>D51+F51+H51+J51+L51</f>
        <v>0</v>
      </c>
    </row>
    <row r="52" spans="1:16" x14ac:dyDescent="0.2">
      <c r="A52" s="33"/>
      <c r="B52" s="23" t="s">
        <v>163</v>
      </c>
      <c r="D52" s="43" t="str">
        <f>IF(D51='Exh A'!D43,"OK","ERROR")</f>
        <v>OK</v>
      </c>
      <c r="F52" s="43" t="str">
        <f>IF(F51='Exh A'!F43,"OK","ERROR")</f>
        <v>OK</v>
      </c>
      <c r="H52" s="43" t="str">
        <f>IF(H51='Exh A'!H43,"OK","ERROR")</f>
        <v>OK</v>
      </c>
      <c r="J52" s="43" t="str">
        <f>IF(J51='Exh A'!J43,"OK","ERROR")</f>
        <v>OK</v>
      </c>
      <c r="L52" s="43" t="str">
        <f>IF(L51='Exh A'!L43,"OK","ERROR")</f>
        <v>OK</v>
      </c>
    </row>
    <row r="53" spans="1:16" x14ac:dyDescent="0.2">
      <c r="A53" s="33"/>
      <c r="B53" s="23"/>
    </row>
    <row r="54" spans="1:16" x14ac:dyDescent="0.2">
      <c r="A54" s="33"/>
      <c r="B54" s="1" t="s">
        <v>90</v>
      </c>
    </row>
    <row r="55" spans="1:16" x14ac:dyDescent="0.2">
      <c r="A55" s="33">
        <v>260</v>
      </c>
      <c r="B55" s="3" t="s">
        <v>169</v>
      </c>
      <c r="D55" s="52">
        <v>0</v>
      </c>
      <c r="F55" s="328">
        <v>0</v>
      </c>
      <c r="G55" s="6"/>
      <c r="H55" s="52">
        <v>0</v>
      </c>
      <c r="I55" s="6"/>
      <c r="J55" s="52">
        <v>0</v>
      </c>
      <c r="K55" s="6"/>
      <c r="L55" s="52">
        <v>0</v>
      </c>
      <c r="N55" s="12">
        <f>D55+F55+H55+J55+L55</f>
        <v>0</v>
      </c>
    </row>
    <row r="56" spans="1:16" x14ac:dyDescent="0.2">
      <c r="A56" s="33">
        <v>261</v>
      </c>
      <c r="B56" s="3" t="s">
        <v>170</v>
      </c>
      <c r="D56" s="51">
        <v>0</v>
      </c>
      <c r="F56" s="51">
        <v>0</v>
      </c>
      <c r="G56" s="6"/>
      <c r="H56" s="51">
        <v>0</v>
      </c>
      <c r="I56" s="6"/>
      <c r="J56" s="51">
        <v>0</v>
      </c>
      <c r="K56" s="6"/>
      <c r="L56" s="51">
        <v>0</v>
      </c>
      <c r="N56" s="7">
        <f>D56+F56+H56+J56+L56</f>
        <v>0</v>
      </c>
    </row>
    <row r="57" spans="1:16" x14ac:dyDescent="0.2">
      <c r="A57" s="33"/>
      <c r="B57" s="24" t="s">
        <v>54</v>
      </c>
      <c r="D57" s="21">
        <f>SUM(D55:D56)</f>
        <v>0</v>
      </c>
      <c r="F57" s="21">
        <f>SUM(F55:F56)</f>
        <v>0</v>
      </c>
      <c r="G57" s="12"/>
      <c r="H57" s="21">
        <f>SUM(H55:H56)</f>
        <v>0</v>
      </c>
      <c r="I57" s="12"/>
      <c r="J57" s="21">
        <f>SUM(J55:J56)</f>
        <v>0</v>
      </c>
      <c r="K57" s="12"/>
      <c r="L57" s="21">
        <f>SUM(L55:L56)</f>
        <v>0</v>
      </c>
      <c r="N57" s="8">
        <f>D57+F57+H57+J57+L57</f>
        <v>0</v>
      </c>
    </row>
    <row r="58" spans="1:16" x14ac:dyDescent="0.2">
      <c r="A58" s="33"/>
      <c r="B58" s="23" t="s">
        <v>163</v>
      </c>
      <c r="D58" s="43" t="str">
        <f>IF(D57='Exh A'!D44,"OK","ERROR")</f>
        <v>OK</v>
      </c>
      <c r="F58" s="43" t="str">
        <f>IF(F57='Exh A'!F44,"OK","ERROR")</f>
        <v>OK</v>
      </c>
      <c r="H58" s="43" t="str">
        <f>IF(H57='Exh A'!H44,"OK","ERROR")</f>
        <v>OK</v>
      </c>
      <c r="J58" s="43" t="str">
        <f>IF(J57='Exh A'!J44,"OK","ERROR")</f>
        <v>OK</v>
      </c>
      <c r="L58" s="43" t="str">
        <f>IF(L57='Exh A'!L44,"OK","ERROR")</f>
        <v>OK</v>
      </c>
    </row>
    <row r="59" spans="1:16" x14ac:dyDescent="0.2">
      <c r="A59" s="33"/>
      <c r="B59" s="23"/>
    </row>
    <row r="60" spans="1:16" x14ac:dyDescent="0.2">
      <c r="A60" s="33"/>
      <c r="B60" s="1" t="s">
        <v>91</v>
      </c>
    </row>
    <row r="61" spans="1:16" x14ac:dyDescent="0.2">
      <c r="A61" s="33">
        <v>260</v>
      </c>
      <c r="B61" s="3" t="s">
        <v>169</v>
      </c>
      <c r="D61" s="50">
        <v>0</v>
      </c>
      <c r="F61" s="52">
        <v>0</v>
      </c>
      <c r="G61" s="12"/>
      <c r="H61" s="52">
        <v>0</v>
      </c>
      <c r="I61" s="12"/>
      <c r="J61" s="52">
        <v>0</v>
      </c>
      <c r="K61" s="12"/>
      <c r="L61" s="52">
        <v>0</v>
      </c>
      <c r="N61" s="6">
        <f>D61+F61+H61+J61+L61</f>
        <v>0</v>
      </c>
    </row>
    <row r="62" spans="1:16" x14ac:dyDescent="0.2">
      <c r="A62" s="33">
        <v>261</v>
      </c>
      <c r="B62" s="3" t="s">
        <v>170</v>
      </c>
      <c r="D62" s="51">
        <v>0</v>
      </c>
      <c r="F62" s="53">
        <v>0</v>
      </c>
      <c r="G62" s="12"/>
      <c r="H62" s="53">
        <v>0</v>
      </c>
      <c r="I62" s="12"/>
      <c r="J62" s="53">
        <v>0</v>
      </c>
      <c r="K62" s="12"/>
      <c r="L62" s="53">
        <v>0</v>
      </c>
      <c r="N62" s="7">
        <f>D62+F62+H62+J62+L62</f>
        <v>0</v>
      </c>
    </row>
    <row r="63" spans="1:16" x14ac:dyDescent="0.2">
      <c r="A63" s="33"/>
      <c r="B63" s="24" t="s">
        <v>54</v>
      </c>
      <c r="D63" s="10">
        <f>SUM(D61:D62)</f>
        <v>0</v>
      </c>
      <c r="F63" s="10">
        <f>SUM(F61:F62)</f>
        <v>0</v>
      </c>
      <c r="G63" s="12"/>
      <c r="H63" s="10">
        <f>SUM(H61:H62)</f>
        <v>0</v>
      </c>
      <c r="I63" s="12"/>
      <c r="J63" s="10">
        <f>SUM(J61:J62)</f>
        <v>0</v>
      </c>
      <c r="K63" s="12"/>
      <c r="L63" s="10">
        <f>SUM(L61:L62)</f>
        <v>0</v>
      </c>
      <c r="N63" s="8">
        <f>D63+F63+H63+J63+L63</f>
        <v>0</v>
      </c>
    </row>
    <row r="64" spans="1:16" x14ac:dyDescent="0.2">
      <c r="A64" s="33"/>
      <c r="B64" s="23" t="s">
        <v>163</v>
      </c>
      <c r="D64" s="43" t="str">
        <f>IF(D63='Exh A'!D45,"OK","ERROR")</f>
        <v>OK</v>
      </c>
      <c r="F64" s="43" t="str">
        <f>IF(F63='Exh A'!F45,"OK","ERROR")</f>
        <v>OK</v>
      </c>
      <c r="H64" s="43" t="str">
        <f>IF(H63='Exh A'!H45,"OK","ERROR")</f>
        <v>OK</v>
      </c>
      <c r="J64" s="43" t="str">
        <f>IF(J63='Exh A'!J45,"OK","ERROR")</f>
        <v>OK</v>
      </c>
      <c r="L64" s="43" t="str">
        <f>IF(L63='Exh A'!L45,"OK","ERROR")</f>
        <v>OK</v>
      </c>
    </row>
    <row r="65" spans="1:14" x14ac:dyDescent="0.2">
      <c r="A65" s="33"/>
      <c r="B65" s="23"/>
    </row>
    <row r="66" spans="1:14" x14ac:dyDescent="0.2">
      <c r="A66" s="33"/>
      <c r="B66" s="1" t="s">
        <v>125</v>
      </c>
    </row>
    <row r="67" spans="1:14" x14ac:dyDescent="0.2">
      <c r="A67" s="33">
        <v>500</v>
      </c>
      <c r="B67" s="3" t="s">
        <v>172</v>
      </c>
      <c r="D67" s="328">
        <v>0</v>
      </c>
      <c r="F67" s="328">
        <v>0</v>
      </c>
      <c r="G67" s="12"/>
      <c r="H67" s="328">
        <v>0</v>
      </c>
      <c r="I67" s="12"/>
      <c r="J67" s="52">
        <v>0</v>
      </c>
      <c r="K67" s="12"/>
      <c r="L67" s="52">
        <v>0</v>
      </c>
      <c r="N67" s="6">
        <f>D67+F67+H67+J67+L67</f>
        <v>0</v>
      </c>
    </row>
    <row r="68" spans="1:14" x14ac:dyDescent="0.2">
      <c r="A68" s="33">
        <v>510</v>
      </c>
      <c r="B68" s="3" t="s">
        <v>173</v>
      </c>
      <c r="D68" s="328">
        <v>0</v>
      </c>
      <c r="F68" s="328">
        <v>0</v>
      </c>
      <c r="G68" s="12"/>
      <c r="H68" s="328">
        <v>0</v>
      </c>
      <c r="I68" s="12"/>
      <c r="J68" s="52">
        <v>0</v>
      </c>
      <c r="K68" s="12"/>
      <c r="L68" s="52">
        <v>0</v>
      </c>
      <c r="N68" s="6">
        <f>D68+F68+H68+J68+L68</f>
        <v>0</v>
      </c>
    </row>
    <row r="69" spans="1:14" x14ac:dyDescent="0.2">
      <c r="A69" s="33">
        <v>520</v>
      </c>
      <c r="B69" s="3" t="s">
        <v>174</v>
      </c>
      <c r="D69" s="330">
        <v>0</v>
      </c>
      <c r="F69" s="330">
        <v>0</v>
      </c>
      <c r="G69" s="12"/>
      <c r="H69" s="330">
        <v>0</v>
      </c>
      <c r="I69" s="12"/>
      <c r="J69" s="53">
        <v>0</v>
      </c>
      <c r="K69" s="12"/>
      <c r="L69" s="53">
        <v>0</v>
      </c>
      <c r="N69" s="7">
        <f>D69+F69+H69+J69+L69</f>
        <v>0</v>
      </c>
    </row>
    <row r="70" spans="1:14" x14ac:dyDescent="0.2">
      <c r="A70" s="33"/>
      <c r="B70" s="24" t="s">
        <v>54</v>
      </c>
      <c r="D70" s="21">
        <f>SUM(D67:D69)</f>
        <v>0</v>
      </c>
      <c r="F70" s="21">
        <f>SUM(F67:F69)</f>
        <v>0</v>
      </c>
      <c r="G70" s="12"/>
      <c r="H70" s="21">
        <f>SUM(H67:H69)</f>
        <v>0</v>
      </c>
      <c r="I70" s="12"/>
      <c r="J70" s="21">
        <f>SUM(J67:J69)</f>
        <v>0</v>
      </c>
      <c r="K70" s="12"/>
      <c r="L70" s="21">
        <f>SUM(L67:L69)</f>
        <v>0</v>
      </c>
      <c r="N70" s="8">
        <f>D70+F70+H70+J70+L70</f>
        <v>0</v>
      </c>
    </row>
    <row r="71" spans="1:14" x14ac:dyDescent="0.2">
      <c r="A71" s="33"/>
      <c r="B71" s="23" t="s">
        <v>175</v>
      </c>
      <c r="D71" s="43" t="str">
        <f>IF(D70='Exh B'!D9,"OK","ERROR")</f>
        <v>OK</v>
      </c>
      <c r="F71" s="43" t="str">
        <f>IF(F70='Exh B'!F9,"OK","ERROR")</f>
        <v>OK</v>
      </c>
      <c r="H71" s="43" t="str">
        <f>IF(H70='Exh B'!H9,"OK","ERROR")</f>
        <v>OK</v>
      </c>
      <c r="J71" s="43" t="str">
        <f>IF(J70='Exh B'!J9,"OK","ERROR")</f>
        <v>OK</v>
      </c>
      <c r="L71" s="43" t="str">
        <f>IF(L70='Exh B'!L9,"OK","ERROR")</f>
        <v>OK</v>
      </c>
    </row>
    <row r="72" spans="1:14" x14ac:dyDescent="0.2">
      <c r="A72" s="33"/>
      <c r="B72" s="23"/>
      <c r="D72" s="43"/>
      <c r="F72" s="43"/>
      <c r="H72" s="43"/>
      <c r="J72" s="43"/>
      <c r="L72" s="43"/>
    </row>
    <row r="73" spans="1:14" x14ac:dyDescent="0.2">
      <c r="A73" s="447"/>
      <c r="B73" s="458" t="s">
        <v>775</v>
      </c>
      <c r="C73" s="336"/>
      <c r="D73" s="460"/>
      <c r="E73" s="336"/>
      <c r="F73" s="460"/>
      <c r="G73" s="336"/>
      <c r="H73" s="460"/>
      <c r="I73" s="336"/>
      <c r="J73" s="460"/>
      <c r="K73" s="336"/>
      <c r="L73" s="460"/>
      <c r="M73" s="336"/>
      <c r="N73" s="336"/>
    </row>
    <row r="74" spans="1:14" x14ac:dyDescent="0.2">
      <c r="A74" s="447">
        <v>260</v>
      </c>
      <c r="B74" s="459" t="s">
        <v>169</v>
      </c>
      <c r="C74" s="336"/>
      <c r="D74" s="466">
        <v>0</v>
      </c>
      <c r="E74" s="336"/>
      <c r="F74" s="466">
        <v>0</v>
      </c>
      <c r="G74" s="457"/>
      <c r="H74" s="466">
        <v>0</v>
      </c>
      <c r="I74" s="457"/>
      <c r="J74" s="467">
        <v>0</v>
      </c>
      <c r="K74" s="457"/>
      <c r="L74" s="467">
        <v>0</v>
      </c>
      <c r="M74" s="336"/>
      <c r="N74" s="461">
        <f>D74+F74+H74+J74+L74</f>
        <v>0</v>
      </c>
    </row>
    <row r="75" spans="1:14" x14ac:dyDescent="0.2">
      <c r="A75" s="447">
        <v>261</v>
      </c>
      <c r="B75" s="459" t="s">
        <v>170</v>
      </c>
      <c r="C75" s="336"/>
      <c r="D75" s="466">
        <v>1000</v>
      </c>
      <c r="E75" s="336"/>
      <c r="F75" s="466">
        <v>0</v>
      </c>
      <c r="G75" s="457"/>
      <c r="H75" s="466">
        <v>0</v>
      </c>
      <c r="I75" s="457"/>
      <c r="J75" s="467">
        <v>0</v>
      </c>
      <c r="K75" s="457"/>
      <c r="L75" s="467">
        <v>0</v>
      </c>
      <c r="M75" s="336"/>
      <c r="N75" s="461">
        <f>D75+F75+H75+J75+L75</f>
        <v>1000</v>
      </c>
    </row>
    <row r="76" spans="1:14" x14ac:dyDescent="0.2">
      <c r="A76" s="447"/>
      <c r="B76" s="462" t="s">
        <v>54</v>
      </c>
      <c r="C76" s="336"/>
      <c r="D76" s="463">
        <f>SUM(D74:D75)</f>
        <v>1000</v>
      </c>
      <c r="E76" s="336"/>
      <c r="F76" s="463">
        <f>SUM(F74:F75)</f>
        <v>0</v>
      </c>
      <c r="G76" s="457"/>
      <c r="H76" s="463">
        <f>SUM(H74:H75)</f>
        <v>0</v>
      </c>
      <c r="I76" s="457"/>
      <c r="J76" s="463">
        <f>SUM(J74:J75)</f>
        <v>0</v>
      </c>
      <c r="K76" s="457"/>
      <c r="L76" s="463">
        <f>SUM(L74:L75)</f>
        <v>0</v>
      </c>
      <c r="M76" s="336"/>
      <c r="N76" s="464">
        <f>D76+F76+H76+J76+L76</f>
        <v>1000</v>
      </c>
    </row>
    <row r="77" spans="1:14" x14ac:dyDescent="0.2">
      <c r="A77" s="447"/>
      <c r="B77" s="465" t="s">
        <v>163</v>
      </c>
      <c r="C77" s="336"/>
      <c r="D77" s="460" t="str">
        <f>IF(D76='Exh A'!D32,"OK","ERROR")</f>
        <v>ERROR</v>
      </c>
      <c r="E77" s="336"/>
      <c r="F77" s="460" t="str">
        <f>IF(F76='Exh A'!F32,"OK","ERROR")</f>
        <v>OK</v>
      </c>
      <c r="G77" s="336"/>
      <c r="H77" s="460" t="str">
        <f>IF(H76='Exh A'!H32,"OK","ERROR")</f>
        <v>OK</v>
      </c>
      <c r="I77" s="336"/>
      <c r="J77" s="460" t="str">
        <f>IF(J76='Exh A'!J32,"OK","ERROR")</f>
        <v>OK</v>
      </c>
      <c r="K77" s="336"/>
      <c r="L77" s="460" t="str">
        <f>IF(L76='Exh A'!L32,"OK","ERROR")</f>
        <v>OK</v>
      </c>
      <c r="M77" s="336"/>
      <c r="N77" s="336"/>
    </row>
    <row r="78" spans="1:14" x14ac:dyDescent="0.2">
      <c r="A78" s="33"/>
      <c r="B78" s="23"/>
      <c r="D78" s="43"/>
      <c r="F78" s="43"/>
      <c r="H78" s="43"/>
      <c r="J78" s="43"/>
      <c r="L78" s="43"/>
    </row>
    <row r="79" spans="1:14" ht="18" customHeight="1" x14ac:dyDescent="0.2">
      <c r="A79" s="33"/>
      <c r="B79" s="23"/>
      <c r="D79" s="43"/>
      <c r="F79" s="43"/>
      <c r="H79" s="43"/>
      <c r="J79" s="43"/>
      <c r="L79" s="43"/>
    </row>
    <row r="80" spans="1:14" x14ac:dyDescent="0.2">
      <c r="A80" s="561" t="s">
        <v>176</v>
      </c>
      <c r="B80" s="561"/>
    </row>
    <row r="81" spans="1:15" ht="12" customHeight="1" x14ac:dyDescent="0.2">
      <c r="A81" s="46"/>
      <c r="B81" s="46"/>
    </row>
    <row r="82" spans="1:15" ht="14.25" x14ac:dyDescent="0.2">
      <c r="A82" s="33"/>
      <c r="B82" s="1" t="s">
        <v>177</v>
      </c>
    </row>
    <row r="83" spans="1:15" x14ac:dyDescent="0.2">
      <c r="A83" s="33">
        <v>604</v>
      </c>
      <c r="B83" s="3" t="s">
        <v>178</v>
      </c>
      <c r="D83" s="50">
        <v>0</v>
      </c>
      <c r="F83" s="52">
        <v>0</v>
      </c>
      <c r="H83" s="52">
        <v>0</v>
      </c>
      <c r="J83" s="52">
        <v>0</v>
      </c>
      <c r="K83" s="12"/>
      <c r="L83" s="52">
        <v>0</v>
      </c>
      <c r="N83" s="6">
        <f>D83+F83+H83+J83+L83</f>
        <v>0</v>
      </c>
    </row>
    <row r="84" spans="1:15" x14ac:dyDescent="0.2">
      <c r="A84" s="33">
        <v>600</v>
      </c>
      <c r="B84" s="3" t="s">
        <v>179</v>
      </c>
      <c r="D84" s="328">
        <v>0</v>
      </c>
      <c r="F84" s="328">
        <v>0</v>
      </c>
      <c r="H84" s="328">
        <v>0</v>
      </c>
      <c r="J84" s="52">
        <v>0</v>
      </c>
      <c r="K84" s="12"/>
      <c r="L84" s="52">
        <v>0</v>
      </c>
      <c r="N84" s="6">
        <f>D84+F84+H84+J84+L84</f>
        <v>0</v>
      </c>
    </row>
    <row r="85" spans="1:15" x14ac:dyDescent="0.2">
      <c r="A85" s="33">
        <v>602</v>
      </c>
      <c r="B85" s="3" t="s">
        <v>180</v>
      </c>
      <c r="D85" s="50">
        <v>0</v>
      </c>
      <c r="F85" s="53">
        <v>0</v>
      </c>
      <c r="H85" s="53">
        <v>0</v>
      </c>
      <c r="J85" s="53">
        <v>0</v>
      </c>
      <c r="K85" s="12"/>
      <c r="L85" s="53">
        <v>0</v>
      </c>
      <c r="N85" s="7">
        <f>D85+F85+H85+J85+L85</f>
        <v>0</v>
      </c>
    </row>
    <row r="86" spans="1:15" x14ac:dyDescent="0.2">
      <c r="A86" s="33"/>
      <c r="B86" s="24" t="s">
        <v>54</v>
      </c>
      <c r="D86" s="21">
        <f>SUM(D83:D85)</f>
        <v>0</v>
      </c>
      <c r="F86" s="21">
        <f>SUM(F83:F85)</f>
        <v>0</v>
      </c>
      <c r="H86" s="21">
        <f>SUM(H83:H85)</f>
        <v>0</v>
      </c>
      <c r="J86" s="21">
        <f>SUM(J83:J85)</f>
        <v>0</v>
      </c>
      <c r="K86" s="12"/>
      <c r="L86" s="21">
        <f>SUM(L83:L85)</f>
        <v>0</v>
      </c>
      <c r="N86" s="8">
        <f>D86+F86+H86+J86+L86</f>
        <v>0</v>
      </c>
    </row>
    <row r="87" spans="1:15" x14ac:dyDescent="0.2">
      <c r="A87" s="33"/>
      <c r="B87" s="23" t="s">
        <v>175</v>
      </c>
      <c r="D87" s="43" t="str">
        <f>IF(D86='Exh B'!D22,"OK","ERROR")</f>
        <v>OK</v>
      </c>
      <c r="F87" s="43" t="str">
        <f>IF(F86='Exh B'!F22,"OK","ERROR")</f>
        <v>OK</v>
      </c>
      <c r="H87" s="43" t="str">
        <f>IF(H86='Exh B'!H22,"OK","ERROR")</f>
        <v>OK</v>
      </c>
      <c r="J87" s="43" t="str">
        <f>IF(J86='Exh B'!J22,"OK","ERROR")</f>
        <v>OK</v>
      </c>
      <c r="L87" s="43" t="str">
        <f>IF(L86='Exh B'!L22,"OK","ERROR")</f>
        <v>OK</v>
      </c>
    </row>
    <row r="88" spans="1:15" ht="18" customHeight="1" x14ac:dyDescent="0.2">
      <c r="A88" s="33"/>
      <c r="B88" s="23"/>
      <c r="D88" s="43"/>
      <c r="F88" s="43"/>
      <c r="H88" s="43"/>
      <c r="J88" s="43"/>
      <c r="L88" s="43"/>
    </row>
    <row r="89" spans="1:15" x14ac:dyDescent="0.2">
      <c r="A89" s="33"/>
      <c r="B89" s="452" t="s">
        <v>181</v>
      </c>
      <c r="D89" s="43"/>
      <c r="F89" s="43"/>
      <c r="H89" s="43"/>
      <c r="J89" s="43"/>
      <c r="L89" s="43"/>
    </row>
    <row r="90" spans="1:15" x14ac:dyDescent="0.2">
      <c r="A90" s="33"/>
      <c r="B90" s="452"/>
      <c r="D90" s="43"/>
      <c r="F90" s="43"/>
      <c r="H90" s="43"/>
      <c r="J90" s="43"/>
      <c r="L90" s="43"/>
    </row>
    <row r="91" spans="1:15" x14ac:dyDescent="0.2">
      <c r="A91" s="33"/>
      <c r="B91" s="1" t="s">
        <v>182</v>
      </c>
      <c r="D91" s="54">
        <v>45838</v>
      </c>
      <c r="F91" s="54">
        <v>45838</v>
      </c>
      <c r="H91" s="54">
        <v>45838</v>
      </c>
      <c r="J91" s="54">
        <v>45838</v>
      </c>
      <c r="L91" s="54">
        <v>45838</v>
      </c>
      <c r="N91" s="54">
        <v>45838</v>
      </c>
    </row>
    <row r="92" spans="1:15" ht="11.25" customHeight="1" x14ac:dyDescent="0.2">
      <c r="A92" s="33"/>
      <c r="B92" s="1"/>
      <c r="D92" s="71"/>
      <c r="F92" s="71"/>
      <c r="H92" s="71"/>
      <c r="J92" s="71"/>
      <c r="L92" s="71"/>
    </row>
    <row r="93" spans="1:15" ht="14.25" x14ac:dyDescent="0.2">
      <c r="A93" s="33"/>
      <c r="B93" s="72" t="s">
        <v>184</v>
      </c>
      <c r="D93" s="71"/>
      <c r="F93" s="71"/>
      <c r="H93" s="71"/>
      <c r="J93" s="71"/>
      <c r="L93" s="71"/>
    </row>
    <row r="94" spans="1:15" x14ac:dyDescent="0.2">
      <c r="A94" s="33"/>
      <c r="B94" s="214" t="s">
        <v>185</v>
      </c>
      <c r="D94" s="52">
        <v>0</v>
      </c>
      <c r="E94" s="52"/>
      <c r="F94" s="328">
        <v>0</v>
      </c>
      <c r="G94" s="52"/>
      <c r="H94" s="52">
        <v>0</v>
      </c>
      <c r="I94" s="52"/>
      <c r="J94" s="52">
        <v>0</v>
      </c>
      <c r="K94" s="52"/>
      <c r="L94" s="52">
        <v>0</v>
      </c>
      <c r="M94" s="52"/>
      <c r="N94" s="6">
        <f>D94+F94+H94+J94+L94</f>
        <v>0</v>
      </c>
      <c r="O94" s="151"/>
    </row>
    <row r="95" spans="1:15" x14ac:dyDescent="0.2">
      <c r="A95" s="33"/>
      <c r="B95" s="3" t="s">
        <v>186</v>
      </c>
      <c r="D95" s="53">
        <v>0</v>
      </c>
      <c r="E95" s="52"/>
      <c r="F95" s="330">
        <v>0</v>
      </c>
      <c r="G95" s="52"/>
      <c r="H95" s="53">
        <v>0</v>
      </c>
      <c r="I95" s="52"/>
      <c r="J95" s="53">
        <v>0</v>
      </c>
      <c r="K95" s="52"/>
      <c r="L95" s="53">
        <v>0</v>
      </c>
      <c r="M95" s="52"/>
      <c r="N95" s="7">
        <f>D95+F95+H95+J95+L95</f>
        <v>0</v>
      </c>
    </row>
    <row r="96" spans="1:15" x14ac:dyDescent="0.2">
      <c r="A96" s="33"/>
      <c r="B96" s="24" t="s">
        <v>54</v>
      </c>
      <c r="D96" s="10">
        <f>SUM(D94:D95)</f>
        <v>0</v>
      </c>
      <c r="E96" s="12"/>
      <c r="F96" s="10">
        <f>SUM(F94:F95)</f>
        <v>0</v>
      </c>
      <c r="G96" s="12"/>
      <c r="H96" s="10">
        <f>SUM(H94:H95)</f>
        <v>0</v>
      </c>
      <c r="I96" s="12"/>
      <c r="J96" s="10">
        <f>SUM(J94:J95)</f>
        <v>0</v>
      </c>
      <c r="K96" s="12"/>
      <c r="L96" s="10">
        <f>SUM(L94:L95)</f>
        <v>0</v>
      </c>
      <c r="M96" s="12"/>
      <c r="N96" s="8">
        <f>D96+F96+H96+J96+L96</f>
        <v>0</v>
      </c>
      <c r="O96" t="str">
        <f>IF($N$123&gt;=0,"","See below error - Invested in capital assets")</f>
        <v/>
      </c>
    </row>
    <row r="97" spans="1:15" x14ac:dyDescent="0.2">
      <c r="A97" s="33"/>
      <c r="B97" s="23" t="s">
        <v>163</v>
      </c>
      <c r="D97" s="43" t="str">
        <f>IF(D96='Exh A'!D44,"OK","ERROR")</f>
        <v>OK</v>
      </c>
      <c r="E97" s="52"/>
      <c r="F97" s="43" t="str">
        <f>IF(F96='Exh A'!F44,"OK","ERROR")</f>
        <v>OK</v>
      </c>
      <c r="G97" s="52"/>
      <c r="H97" s="43" t="str">
        <f>IF(H96='Exh A'!H44,"OK","ERROR")</f>
        <v>OK</v>
      </c>
      <c r="I97" s="52"/>
      <c r="J97" s="43" t="str">
        <f>IF(J96='Exh A'!J44,"OK","ERROR")</f>
        <v>OK</v>
      </c>
      <c r="K97" s="52"/>
      <c r="L97" s="43" t="str">
        <f>IF(L96='Exh A'!L44,"OK","ERROR")</f>
        <v>OK</v>
      </c>
      <c r="M97" s="52"/>
      <c r="N97" s="52"/>
    </row>
    <row r="98" spans="1:15" ht="9" customHeight="1" x14ac:dyDescent="0.2">
      <c r="A98" s="33"/>
      <c r="B98" s="231"/>
      <c r="D98" s="52"/>
      <c r="E98" s="52"/>
      <c r="F98" s="52"/>
      <c r="G98" s="52"/>
      <c r="H98" s="52"/>
      <c r="I98" s="52"/>
      <c r="J98" s="52"/>
      <c r="K98" s="52"/>
      <c r="L98" s="52"/>
      <c r="M98" s="52"/>
      <c r="N98" s="52"/>
    </row>
    <row r="99" spans="1:15" ht="14.25" x14ac:dyDescent="0.2">
      <c r="A99" s="33"/>
      <c r="B99" s="72" t="s">
        <v>187</v>
      </c>
      <c r="D99" s="52"/>
      <c r="E99" s="52"/>
      <c r="F99" s="52"/>
      <c r="G99" s="52"/>
      <c r="H99" s="52"/>
      <c r="I99" s="52"/>
      <c r="J99" s="52"/>
      <c r="K99" s="52"/>
      <c r="L99" s="52"/>
      <c r="M99" s="52"/>
      <c r="N99" s="52"/>
    </row>
    <row r="100" spans="1:15" x14ac:dyDescent="0.2">
      <c r="A100" s="33"/>
      <c r="B100" s="3" t="s">
        <v>188</v>
      </c>
      <c r="D100" s="52">
        <v>0</v>
      </c>
      <c r="E100" s="52"/>
      <c r="F100" s="52">
        <v>0</v>
      </c>
      <c r="G100" s="52"/>
      <c r="H100" s="52">
        <v>0</v>
      </c>
      <c r="I100" s="52"/>
      <c r="J100" s="52">
        <v>0</v>
      </c>
      <c r="K100" s="52"/>
      <c r="L100" s="52">
        <v>0</v>
      </c>
      <c r="M100" s="52"/>
      <c r="N100" s="6">
        <f>D100+F100+H100+J100+L100</f>
        <v>0</v>
      </c>
    </row>
    <row r="101" spans="1:15" x14ac:dyDescent="0.2">
      <c r="A101" s="33"/>
      <c r="B101" s="3" t="s">
        <v>189</v>
      </c>
      <c r="D101" s="51">
        <v>0</v>
      </c>
      <c r="E101" s="52"/>
      <c r="F101" s="53">
        <v>0</v>
      </c>
      <c r="G101" s="52"/>
      <c r="H101" s="53">
        <v>0</v>
      </c>
      <c r="I101" s="52"/>
      <c r="J101" s="53">
        <v>0</v>
      </c>
      <c r="K101" s="52"/>
      <c r="L101" s="53">
        <v>0</v>
      </c>
      <c r="M101" s="52"/>
      <c r="N101" s="7">
        <f>D101+F101+H101+J101+L101</f>
        <v>0</v>
      </c>
    </row>
    <row r="102" spans="1:15" x14ac:dyDescent="0.2">
      <c r="A102" s="33"/>
      <c r="B102" s="24" t="s">
        <v>54</v>
      </c>
      <c r="D102" s="10">
        <f>SUM(D100:D101)</f>
        <v>0</v>
      </c>
      <c r="E102" s="12"/>
      <c r="F102" s="10">
        <f>SUM(F100:F101)</f>
        <v>0</v>
      </c>
      <c r="G102" s="12"/>
      <c r="H102" s="10">
        <f>SUM(H100:H101)</f>
        <v>0</v>
      </c>
      <c r="I102" s="12"/>
      <c r="J102" s="10">
        <f>SUM(J100:J101)</f>
        <v>0</v>
      </c>
      <c r="K102" s="12"/>
      <c r="L102" s="10">
        <f>SUM(L100:L101)</f>
        <v>0</v>
      </c>
      <c r="M102" s="12"/>
      <c r="N102" s="8">
        <f>D102+F102+H102+J102+L102</f>
        <v>0</v>
      </c>
      <c r="O102" t="str">
        <f>IF($N$123&gt;=0,"","See below error - Invested in capital assets")</f>
        <v/>
      </c>
    </row>
    <row r="103" spans="1:15" x14ac:dyDescent="0.2">
      <c r="A103" s="33"/>
      <c r="B103" s="23" t="s">
        <v>163</v>
      </c>
      <c r="D103" s="43" t="str">
        <f>IF(D102='Exh A'!D45,"OK","ERROR")</f>
        <v>OK</v>
      </c>
      <c r="E103" s="52"/>
      <c r="F103" s="43" t="str">
        <f>IF(F102='Exh A'!F45,"OK","ERROR")</f>
        <v>OK</v>
      </c>
      <c r="G103" s="52"/>
      <c r="H103" s="43" t="str">
        <f>IF(H102='Exh A'!H45,"OK","ERROR")</f>
        <v>OK</v>
      </c>
      <c r="I103" s="52"/>
      <c r="J103" s="43" t="str">
        <f>IF(J102='Exh A'!J45,"OK","ERROR")</f>
        <v>OK</v>
      </c>
      <c r="K103" s="52"/>
      <c r="L103" s="43" t="str">
        <f>IF(L102='Exh A'!L45,"OK","ERROR")</f>
        <v>OK</v>
      </c>
      <c r="M103" s="52"/>
      <c r="N103" s="52"/>
    </row>
    <row r="104" spans="1:15" ht="9" customHeight="1" x14ac:dyDescent="0.2">
      <c r="A104" s="33"/>
      <c r="B104" s="23"/>
      <c r="D104" s="43"/>
      <c r="E104" s="52"/>
      <c r="F104" s="43"/>
      <c r="G104" s="52"/>
      <c r="H104" s="43"/>
      <c r="I104" s="52"/>
      <c r="J104" s="43"/>
      <c r="K104" s="52"/>
      <c r="L104" s="43"/>
      <c r="M104" s="52"/>
      <c r="N104" s="52"/>
    </row>
    <row r="105" spans="1:15" ht="14.25" x14ac:dyDescent="0.2">
      <c r="A105" s="33"/>
      <c r="B105" s="72" t="s">
        <v>190</v>
      </c>
      <c r="D105" s="43"/>
      <c r="E105" s="52"/>
      <c r="F105" s="43"/>
      <c r="G105" s="52"/>
      <c r="H105" s="43"/>
      <c r="I105" s="52"/>
      <c r="J105" s="43"/>
      <c r="K105" s="52"/>
      <c r="L105" s="43"/>
      <c r="M105" s="52"/>
      <c r="N105" s="52"/>
    </row>
    <row r="106" spans="1:15" x14ac:dyDescent="0.2">
      <c r="A106" s="33"/>
      <c r="B106" s="3" t="s">
        <v>191</v>
      </c>
      <c r="D106" s="52">
        <v>0</v>
      </c>
      <c r="E106" s="151"/>
      <c r="F106" s="52">
        <v>0</v>
      </c>
      <c r="G106" s="151"/>
      <c r="H106" s="52">
        <v>0</v>
      </c>
      <c r="I106" s="52"/>
      <c r="J106" s="52">
        <v>0</v>
      </c>
      <c r="K106" s="52"/>
      <c r="L106" s="52">
        <v>0</v>
      </c>
      <c r="M106" s="52"/>
      <c r="N106" s="6">
        <f>D106+F106+H106+J106+L106</f>
        <v>0</v>
      </c>
    </row>
    <row r="107" spans="1:15" x14ac:dyDescent="0.2">
      <c r="A107" s="33"/>
      <c r="B107" s="3" t="s">
        <v>192</v>
      </c>
      <c r="D107" s="53">
        <v>0</v>
      </c>
      <c r="E107" s="52"/>
      <c r="F107" s="53">
        <v>0</v>
      </c>
      <c r="G107" s="52"/>
      <c r="H107" s="53">
        <v>0</v>
      </c>
      <c r="I107" s="52"/>
      <c r="J107" s="53">
        <v>0</v>
      </c>
      <c r="K107" s="52"/>
      <c r="L107" s="53">
        <v>0</v>
      </c>
      <c r="M107" s="52"/>
      <c r="N107" s="7">
        <f>D107+F107+H107+J107+L107</f>
        <v>0</v>
      </c>
    </row>
    <row r="108" spans="1:15" x14ac:dyDescent="0.2">
      <c r="A108" s="33"/>
      <c r="B108" s="24" t="s">
        <v>54</v>
      </c>
      <c r="D108" s="10">
        <f>SUM(D106:D107)</f>
        <v>0</v>
      </c>
      <c r="E108" s="12"/>
      <c r="F108" s="10">
        <f>SUM(F106:F107)</f>
        <v>0</v>
      </c>
      <c r="G108" s="12"/>
      <c r="H108" s="10">
        <f>SUM(H106:H107)</f>
        <v>0</v>
      </c>
      <c r="I108" s="12"/>
      <c r="J108" s="10">
        <f>SUM(J106:J107)</f>
        <v>0</v>
      </c>
      <c r="K108" s="12"/>
      <c r="L108" s="10">
        <f>SUM(L106:L107)</f>
        <v>0</v>
      </c>
      <c r="M108" s="12"/>
      <c r="N108" s="8">
        <f>D108+F108+H108+J108+L108</f>
        <v>0</v>
      </c>
      <c r="O108" t="str">
        <f>IF($N$123&gt;=0,"","See below error - Invested in capital assets")</f>
        <v/>
      </c>
    </row>
    <row r="109" spans="1:15" x14ac:dyDescent="0.2">
      <c r="A109" s="33"/>
      <c r="B109" s="23"/>
      <c r="D109" s="43"/>
      <c r="E109" s="52"/>
      <c r="F109" s="43"/>
      <c r="G109" s="52"/>
      <c r="H109" s="43"/>
      <c r="I109" s="52"/>
      <c r="J109" s="43"/>
      <c r="K109" s="52"/>
      <c r="L109" s="43"/>
      <c r="M109" s="52"/>
      <c r="N109" s="52"/>
    </row>
    <row r="110" spans="1:15" ht="14.25" x14ac:dyDescent="0.2">
      <c r="A110" s="33"/>
      <c r="B110" s="1" t="s">
        <v>193</v>
      </c>
      <c r="C110" s="141"/>
      <c r="D110" s="213"/>
      <c r="E110" s="141"/>
      <c r="F110" s="213"/>
      <c r="G110" s="141"/>
      <c r="H110" s="213"/>
      <c r="I110" s="141"/>
      <c r="J110" s="213"/>
      <c r="K110" s="141"/>
      <c r="L110" s="213"/>
      <c r="M110" s="141"/>
      <c r="N110" s="141"/>
      <c r="O110" s="149"/>
    </row>
    <row r="111" spans="1:15" x14ac:dyDescent="0.2">
      <c r="A111" s="33"/>
      <c r="B111" s="214" t="s">
        <v>194</v>
      </c>
      <c r="C111" s="141"/>
      <c r="D111" s="331">
        <v>0</v>
      </c>
      <c r="E111" s="151"/>
      <c r="F111" s="333">
        <v>0</v>
      </c>
      <c r="G111" s="151"/>
      <c r="H111" s="333">
        <v>0</v>
      </c>
      <c r="I111" s="151"/>
      <c r="J111" s="218">
        <v>0</v>
      </c>
      <c r="K111" s="151"/>
      <c r="L111" s="218">
        <v>0</v>
      </c>
      <c r="M111" s="151"/>
      <c r="N111" s="220">
        <f>D111+F111+H111+J111+L111</f>
        <v>0</v>
      </c>
      <c r="O111" s="149"/>
    </row>
    <row r="112" spans="1:15" x14ac:dyDescent="0.2">
      <c r="A112" s="33"/>
      <c r="B112" s="214" t="s">
        <v>195</v>
      </c>
      <c r="D112" s="332">
        <v>0</v>
      </c>
      <c r="E112" s="52"/>
      <c r="F112" s="334">
        <v>0</v>
      </c>
      <c r="G112" s="52"/>
      <c r="H112" s="334">
        <v>0</v>
      </c>
      <c r="I112" s="52"/>
      <c r="J112" s="219">
        <v>0</v>
      </c>
      <c r="K112" s="52"/>
      <c r="L112" s="219">
        <v>0</v>
      </c>
      <c r="M112" s="52"/>
      <c r="N112" s="221">
        <f>D112+F112+H112+J112+L112</f>
        <v>0</v>
      </c>
      <c r="O112" s="149"/>
    </row>
    <row r="113" spans="1:15" x14ac:dyDescent="0.2">
      <c r="A113" s="33"/>
      <c r="B113" s="214"/>
      <c r="D113" s="215">
        <f>SUM(D111:D112)</f>
        <v>0</v>
      </c>
      <c r="E113" s="52"/>
      <c r="F113" s="216">
        <f>SUM(F111:F112)</f>
        <v>0</v>
      </c>
      <c r="G113" s="52"/>
      <c r="H113" s="216">
        <f>SUM(H111:H112)</f>
        <v>0</v>
      </c>
      <c r="I113" s="52"/>
      <c r="J113" s="216">
        <f>SUM(J111:J112)</f>
        <v>0</v>
      </c>
      <c r="K113" s="52"/>
      <c r="L113" s="216">
        <f>SUM(L111:L112)</f>
        <v>0</v>
      </c>
      <c r="M113" s="52"/>
      <c r="N113" s="217">
        <f>SUM(N111:N112)</f>
        <v>0</v>
      </c>
      <c r="O113" s="149"/>
    </row>
    <row r="114" spans="1:15" s="309" customFormat="1" ht="39" customHeight="1" x14ac:dyDescent="0.2">
      <c r="A114" s="307"/>
      <c r="B114" s="308"/>
      <c r="D114" s="310" t="str">
        <f>IF(D113='Exh A'!D50,"OK","Explain Further on 'Comments' tab - Column A")</f>
        <v>OK</v>
      </c>
      <c r="E114" s="310"/>
      <c r="F114" s="310" t="str">
        <f>IF(F113='Exh A'!F50,"OK","Explain Further on 'Comments' tab")</f>
        <v>OK</v>
      </c>
      <c r="G114" s="310"/>
      <c r="H114" s="310" t="str">
        <f>IF(H113='Exh A'!H50,"OK","Explain Further on 'Comments' tab")</f>
        <v>OK</v>
      </c>
      <c r="I114" s="310"/>
      <c r="J114" s="310" t="str">
        <f>IF(J113='Exh A'!J50,"OK","Explain Further on 'Comments' tab")</f>
        <v>OK</v>
      </c>
      <c r="K114" s="310"/>
      <c r="L114" s="310" t="str">
        <f>IF(L113='Exh A'!L50,"OK","Explain Further on 'Comments' tab")</f>
        <v>OK</v>
      </c>
      <c r="M114" s="310"/>
      <c r="N114" s="310" t="str">
        <f>IF(N113='Exh A'!N50,"OK","Explain Further on 'Comments' tab - Column A")</f>
        <v>OK</v>
      </c>
      <c r="O114" s="311"/>
    </row>
    <row r="115" spans="1:15" x14ac:dyDescent="0.2">
      <c r="A115" s="33"/>
      <c r="B115" s="23"/>
      <c r="D115" s="43"/>
      <c r="E115" s="52"/>
      <c r="F115" s="43"/>
      <c r="G115" s="52"/>
      <c r="H115" s="43"/>
      <c r="I115" s="52"/>
      <c r="J115" s="43"/>
      <c r="K115" s="52"/>
      <c r="L115" s="43"/>
      <c r="M115" s="52"/>
      <c r="N115" s="52"/>
    </row>
    <row r="116" spans="1:15" ht="14.25" x14ac:dyDescent="0.2">
      <c r="A116" s="33"/>
      <c r="B116" s="29" t="s">
        <v>196</v>
      </c>
      <c r="C116" s="14"/>
      <c r="D116" s="14"/>
      <c r="E116" s="14"/>
      <c r="F116" s="14"/>
      <c r="G116" s="14"/>
      <c r="H116" s="14"/>
      <c r="I116" s="14"/>
      <c r="J116" s="14"/>
      <c r="K116" s="14"/>
      <c r="L116" s="14"/>
      <c r="M116" s="14"/>
      <c r="N116" s="14"/>
    </row>
    <row r="117" spans="1:15" x14ac:dyDescent="0.2">
      <c r="A117" s="33"/>
      <c r="B117" s="15" t="s">
        <v>197</v>
      </c>
      <c r="C117" s="14"/>
      <c r="D117" s="14"/>
      <c r="E117" s="14"/>
      <c r="F117" s="14"/>
      <c r="G117" s="14"/>
      <c r="H117" s="14"/>
      <c r="I117" s="14"/>
      <c r="J117" s="14"/>
      <c r="K117" s="14"/>
      <c r="L117" s="14"/>
      <c r="M117" s="14"/>
      <c r="N117" s="14"/>
    </row>
    <row r="118" spans="1:15" x14ac:dyDescent="0.2">
      <c r="A118" s="33"/>
      <c r="B118" s="16" t="s">
        <v>198</v>
      </c>
      <c r="C118" s="14"/>
      <c r="D118" s="30">
        <f>'Exh A'!D27</f>
        <v>0</v>
      </c>
      <c r="E118" s="14"/>
      <c r="F118" s="30">
        <f>'Exh A'!F27</f>
        <v>0</v>
      </c>
      <c r="G118" s="18"/>
      <c r="H118" s="30">
        <f>'Exh A'!H27</f>
        <v>0</v>
      </c>
      <c r="I118" s="18"/>
      <c r="J118" s="30">
        <f>'Exh A'!J27</f>
        <v>0</v>
      </c>
      <c r="K118" s="18"/>
      <c r="L118" s="30">
        <f>'Exh A'!L27</f>
        <v>0</v>
      </c>
      <c r="M118" s="14"/>
      <c r="N118" s="30">
        <f t="shared" ref="N118:N123" si="0">D118+F118+H118+J118+L118</f>
        <v>0</v>
      </c>
    </row>
    <row r="119" spans="1:15" x14ac:dyDescent="0.2">
      <c r="A119" s="33"/>
      <c r="B119" s="16" t="s">
        <v>199</v>
      </c>
      <c r="C119" s="14"/>
      <c r="D119" s="18">
        <f>'Exh A'!D42</f>
        <v>0</v>
      </c>
      <c r="E119" s="14"/>
      <c r="F119" s="18">
        <f>'Exh A'!F42</f>
        <v>0</v>
      </c>
      <c r="G119" s="18"/>
      <c r="H119" s="18">
        <f>'Exh A'!H42</f>
        <v>0</v>
      </c>
      <c r="I119" s="18"/>
      <c r="J119" s="18">
        <f>'Exh A'!J42</f>
        <v>0</v>
      </c>
      <c r="K119" s="18"/>
      <c r="L119" s="18">
        <f>'Exh A'!L42</f>
        <v>0</v>
      </c>
      <c r="M119" s="14"/>
      <c r="N119" s="18">
        <f t="shared" si="0"/>
        <v>0</v>
      </c>
    </row>
    <row r="120" spans="1:15" x14ac:dyDescent="0.2">
      <c r="A120" s="33"/>
      <c r="B120" s="16" t="s">
        <v>200</v>
      </c>
      <c r="C120" s="14"/>
      <c r="D120" s="18">
        <f>D94</f>
        <v>0</v>
      </c>
      <c r="E120" s="14"/>
      <c r="F120" s="18">
        <f>F94</f>
        <v>0</v>
      </c>
      <c r="G120" s="18"/>
      <c r="H120" s="18">
        <f>H94</f>
        <v>0</v>
      </c>
      <c r="I120" s="18"/>
      <c r="J120" s="18">
        <f>J94</f>
        <v>0</v>
      </c>
      <c r="K120" s="18"/>
      <c r="L120" s="18">
        <f>L94</f>
        <v>0</v>
      </c>
      <c r="M120" s="14"/>
      <c r="N120" s="18">
        <f t="shared" si="0"/>
        <v>0</v>
      </c>
    </row>
    <row r="121" spans="1:15" x14ac:dyDescent="0.2">
      <c r="A121" s="33"/>
      <c r="B121" s="16" t="s">
        <v>201</v>
      </c>
      <c r="C121" s="14"/>
      <c r="D121" s="18">
        <f>D100</f>
        <v>0</v>
      </c>
      <c r="E121" s="14"/>
      <c r="F121" s="18">
        <f>F100</f>
        <v>0</v>
      </c>
      <c r="G121" s="18"/>
      <c r="H121" s="18">
        <f>H100</f>
        <v>0</v>
      </c>
      <c r="I121" s="18"/>
      <c r="J121" s="18">
        <f>J100</f>
        <v>0</v>
      </c>
      <c r="K121" s="18"/>
      <c r="L121" s="18">
        <f>L100</f>
        <v>0</v>
      </c>
      <c r="M121" s="14"/>
      <c r="N121" s="18">
        <f t="shared" si="0"/>
        <v>0</v>
      </c>
    </row>
    <row r="122" spans="1:15" x14ac:dyDescent="0.2">
      <c r="A122" s="33"/>
      <c r="B122" s="16" t="s">
        <v>202</v>
      </c>
      <c r="C122" s="14"/>
      <c r="D122" s="19">
        <f>D106</f>
        <v>0</v>
      </c>
      <c r="E122" s="14"/>
      <c r="F122" s="19">
        <f>F106</f>
        <v>0</v>
      </c>
      <c r="G122" s="18"/>
      <c r="H122" s="19">
        <f>H106</f>
        <v>0</v>
      </c>
      <c r="I122" s="18"/>
      <c r="J122" s="19">
        <f>J106</f>
        <v>0</v>
      </c>
      <c r="K122" s="18"/>
      <c r="L122" s="19">
        <f>L106</f>
        <v>0</v>
      </c>
      <c r="M122" s="14"/>
      <c r="N122" s="18">
        <f t="shared" si="0"/>
        <v>0</v>
      </c>
    </row>
    <row r="123" spans="1:15" x14ac:dyDescent="0.2">
      <c r="A123" s="33"/>
      <c r="B123" s="17" t="s">
        <v>197</v>
      </c>
      <c r="C123" s="14"/>
      <c r="D123" s="20">
        <f>D118-D119-D120-D121+D122</f>
        <v>0</v>
      </c>
      <c r="E123" s="14"/>
      <c r="F123" s="20">
        <f>F118-F119-F120-F121+F122</f>
        <v>0</v>
      </c>
      <c r="G123" s="18"/>
      <c r="H123" s="20">
        <f>H118-H119-H120-H121+H122</f>
        <v>0</v>
      </c>
      <c r="I123" s="18"/>
      <c r="J123" s="20">
        <f>J118-J119-J120-J121+J122</f>
        <v>0</v>
      </c>
      <c r="K123" s="18"/>
      <c r="L123" s="20">
        <f>L118-L119-L120-L121+L122</f>
        <v>0</v>
      </c>
      <c r="M123" s="14"/>
      <c r="N123" s="20">
        <f t="shared" si="0"/>
        <v>0</v>
      </c>
      <c r="O123" s="113" t="str">
        <f>IF(N123&gt;=0,"OK ","ERROR - Cannot be a negative amount. Review adjustments above, especially lines 80-95.")</f>
        <v xml:space="preserve">OK </v>
      </c>
    </row>
    <row r="124" spans="1:15" ht="9.75" customHeight="1" x14ac:dyDescent="0.2">
      <c r="A124" s="33"/>
      <c r="B124" s="17"/>
      <c r="C124" s="14"/>
      <c r="D124" s="18"/>
      <c r="E124" s="14"/>
      <c r="F124" s="18"/>
      <c r="G124" s="18"/>
      <c r="H124" s="18"/>
      <c r="I124" s="18"/>
      <c r="J124" s="18"/>
      <c r="K124" s="18"/>
      <c r="L124" s="18"/>
      <c r="M124" s="14"/>
      <c r="N124" s="18"/>
    </row>
    <row r="125" spans="1:15" x14ac:dyDescent="0.2">
      <c r="A125" s="33"/>
      <c r="B125" s="15" t="s">
        <v>203</v>
      </c>
      <c r="C125" s="14"/>
      <c r="D125" s="18"/>
      <c r="E125" s="14"/>
      <c r="F125" s="18"/>
      <c r="G125" s="18"/>
      <c r="H125" s="18"/>
      <c r="I125" s="18"/>
      <c r="J125" s="18"/>
      <c r="K125" s="18"/>
      <c r="L125" s="18"/>
      <c r="M125" s="14"/>
      <c r="N125" s="18"/>
    </row>
    <row r="126" spans="1:15" x14ac:dyDescent="0.2">
      <c r="A126" s="33"/>
      <c r="B126" s="210" t="s">
        <v>204</v>
      </c>
      <c r="C126" s="211"/>
      <c r="D126" s="212">
        <f>D112</f>
        <v>0</v>
      </c>
      <c r="E126" s="211"/>
      <c r="F126" s="212">
        <f>F112</f>
        <v>0</v>
      </c>
      <c r="G126" s="212"/>
      <c r="H126" s="212">
        <f>H112</f>
        <v>0</v>
      </c>
      <c r="I126" s="212"/>
      <c r="J126" s="212">
        <f>J112</f>
        <v>0</v>
      </c>
      <c r="K126" s="212"/>
      <c r="L126" s="212">
        <f>L112</f>
        <v>0</v>
      </c>
      <c r="M126" s="211"/>
      <c r="N126" s="212">
        <f>D126+F126+H126+J126+L126</f>
        <v>0</v>
      </c>
      <c r="O126" s="149"/>
    </row>
    <row r="127" spans="1:15" x14ac:dyDescent="0.2">
      <c r="A127" s="33"/>
      <c r="B127" s="16" t="s">
        <v>205</v>
      </c>
      <c r="C127" s="14"/>
      <c r="D127" s="18">
        <f>D25</f>
        <v>0</v>
      </c>
      <c r="E127" s="14"/>
      <c r="F127" s="18">
        <f>F25</f>
        <v>0</v>
      </c>
      <c r="G127" s="18"/>
      <c r="H127" s="18">
        <f>H25</f>
        <v>0</v>
      </c>
      <c r="I127" s="18"/>
      <c r="J127" s="18">
        <f>J25</f>
        <v>0</v>
      </c>
      <c r="K127" s="18"/>
      <c r="L127" s="18">
        <f>L25</f>
        <v>0</v>
      </c>
      <c r="M127" s="14"/>
      <c r="N127" s="18">
        <f>D127+F127+H127+J127+L127</f>
        <v>0</v>
      </c>
    </row>
    <row r="128" spans="1:15" x14ac:dyDescent="0.2">
      <c r="A128" s="33"/>
      <c r="B128" s="16" t="s">
        <v>206</v>
      </c>
      <c r="C128" s="14"/>
      <c r="D128" s="18">
        <f>D26</f>
        <v>0</v>
      </c>
      <c r="E128" s="14"/>
      <c r="F128" s="18">
        <f>F26</f>
        <v>0</v>
      </c>
      <c r="G128" s="18"/>
      <c r="H128" s="18">
        <f>H26</f>
        <v>0</v>
      </c>
      <c r="I128" s="18"/>
      <c r="J128" s="18">
        <f>J26</f>
        <v>0</v>
      </c>
      <c r="K128" s="18"/>
      <c r="L128" s="18">
        <f>L26</f>
        <v>0</v>
      </c>
      <c r="M128" s="14"/>
      <c r="N128" s="18">
        <f>D128+F128+H128+J128+L128</f>
        <v>0</v>
      </c>
    </row>
    <row r="129" spans="1:15" x14ac:dyDescent="0.2">
      <c r="A129" s="33"/>
      <c r="B129" s="17" t="s">
        <v>207</v>
      </c>
      <c r="C129" s="14"/>
      <c r="D129" s="20">
        <f>D126-D127-D128</f>
        <v>0</v>
      </c>
      <c r="E129" s="14"/>
      <c r="F129" s="20">
        <f>F126-F127-F128</f>
        <v>0</v>
      </c>
      <c r="G129" s="18"/>
      <c r="H129" s="20">
        <f>H126-H127-H128</f>
        <v>0</v>
      </c>
      <c r="I129" s="18"/>
      <c r="J129" s="20">
        <f>J126-J127-J128</f>
        <v>0</v>
      </c>
      <c r="K129" s="18"/>
      <c r="L129" s="20">
        <f>L126-L127-L128</f>
        <v>0</v>
      </c>
      <c r="M129" s="14"/>
      <c r="N129" s="20">
        <f>D129+F129+H129+J129+L129</f>
        <v>0</v>
      </c>
      <c r="O129" s="113" t="str">
        <f>IF(N129&gt;=0,"OK ","ERROR - Cannot be a negative amount. Review adjustments above, especially lines 25-26.")</f>
        <v xml:space="preserve">OK </v>
      </c>
    </row>
    <row r="130" spans="1:15" ht="9.75" customHeight="1" x14ac:dyDescent="0.2">
      <c r="A130" s="33"/>
      <c r="B130" s="14"/>
      <c r="C130" s="14"/>
      <c r="D130" s="14"/>
      <c r="E130" s="14"/>
      <c r="F130" s="14"/>
      <c r="G130" s="14"/>
      <c r="H130" s="14"/>
      <c r="I130" s="14"/>
      <c r="J130" s="14"/>
      <c r="K130" s="14"/>
      <c r="L130" s="14"/>
      <c r="M130" s="14"/>
      <c r="N130" s="14"/>
    </row>
    <row r="131" spans="1:15" x14ac:dyDescent="0.2">
      <c r="A131" s="33"/>
      <c r="B131" s="22" t="s">
        <v>208</v>
      </c>
      <c r="C131" s="14"/>
      <c r="D131" s="14"/>
      <c r="E131" s="14"/>
      <c r="F131" s="14"/>
      <c r="G131" s="14"/>
      <c r="H131" s="14"/>
      <c r="I131" s="14"/>
      <c r="J131" s="14"/>
      <c r="K131" s="14"/>
      <c r="L131" s="14"/>
      <c r="M131" s="14"/>
      <c r="N131" s="14"/>
    </row>
    <row r="132" spans="1:15" x14ac:dyDescent="0.2">
      <c r="A132" s="33"/>
      <c r="B132" s="16" t="s">
        <v>209</v>
      </c>
      <c r="C132" s="14"/>
      <c r="D132" s="18">
        <f>'Exh A'!D51</f>
        <v>0</v>
      </c>
      <c r="E132" s="14"/>
      <c r="F132" s="18">
        <f>'Exh A'!F51</f>
        <v>0</v>
      </c>
      <c r="G132" s="18"/>
      <c r="H132" s="18">
        <f>'Exh A'!H51</f>
        <v>0</v>
      </c>
      <c r="I132" s="18"/>
      <c r="J132" s="18">
        <f>'Exh A'!J51</f>
        <v>0</v>
      </c>
      <c r="K132" s="18"/>
      <c r="L132" s="18">
        <f>'Exh A'!L51</f>
        <v>0</v>
      </c>
      <c r="M132" s="14"/>
      <c r="N132" s="18">
        <f>D132+F132+H132+J132+L132</f>
        <v>0</v>
      </c>
    </row>
    <row r="133" spans="1:15" x14ac:dyDescent="0.2">
      <c r="A133" s="33"/>
      <c r="B133" s="16" t="s">
        <v>210</v>
      </c>
      <c r="C133" s="14"/>
      <c r="D133" s="18">
        <f>D123</f>
        <v>0</v>
      </c>
      <c r="E133" s="14"/>
      <c r="F133" s="18">
        <f>F123</f>
        <v>0</v>
      </c>
      <c r="G133" s="18"/>
      <c r="H133" s="18">
        <f>H123</f>
        <v>0</v>
      </c>
      <c r="I133" s="18"/>
      <c r="J133" s="18">
        <f>J123</f>
        <v>0</v>
      </c>
      <c r="K133" s="18"/>
      <c r="L133" s="18">
        <f>L123</f>
        <v>0</v>
      </c>
      <c r="M133" s="14"/>
      <c r="N133" s="18">
        <f>D133+F133+H133+J133+L133</f>
        <v>0</v>
      </c>
    </row>
    <row r="134" spans="1:15" x14ac:dyDescent="0.2">
      <c r="A134" s="33"/>
      <c r="B134" s="16" t="s">
        <v>211</v>
      </c>
      <c r="C134" s="14"/>
      <c r="D134" s="18">
        <f>D129</f>
        <v>0</v>
      </c>
      <c r="E134" s="14"/>
      <c r="F134" s="18">
        <f>F129</f>
        <v>0</v>
      </c>
      <c r="G134" s="18"/>
      <c r="H134" s="18">
        <f>H129</f>
        <v>0</v>
      </c>
      <c r="I134" s="18"/>
      <c r="J134" s="18">
        <f>J129</f>
        <v>0</v>
      </c>
      <c r="K134" s="18"/>
      <c r="L134" s="18">
        <f>L129</f>
        <v>0</v>
      </c>
      <c r="M134" s="14"/>
      <c r="N134" s="18">
        <f>D134+F134+H134+J134+L134</f>
        <v>0</v>
      </c>
    </row>
    <row r="135" spans="1:15" x14ac:dyDescent="0.2">
      <c r="A135" s="33"/>
      <c r="B135" s="16" t="s">
        <v>212</v>
      </c>
      <c r="C135" s="14"/>
      <c r="D135" s="19">
        <f>D111</f>
        <v>0</v>
      </c>
      <c r="E135" s="14"/>
      <c r="F135" s="19">
        <f>F111</f>
        <v>0</v>
      </c>
      <c r="G135" s="18"/>
      <c r="H135" s="19">
        <f>H111</f>
        <v>0</v>
      </c>
      <c r="I135" s="18"/>
      <c r="J135" s="19">
        <f>J111</f>
        <v>0</v>
      </c>
      <c r="K135" s="18"/>
      <c r="L135" s="19">
        <f>L111</f>
        <v>0</v>
      </c>
      <c r="M135" s="14"/>
      <c r="N135" s="19">
        <f>D135+F135+H135+J135+L135</f>
        <v>0</v>
      </c>
    </row>
    <row r="136" spans="1:15" x14ac:dyDescent="0.2">
      <c r="A136" s="33"/>
      <c r="B136" s="17" t="s">
        <v>213</v>
      </c>
      <c r="C136" s="14"/>
      <c r="D136" s="20">
        <f>D132-D133-D134-D135</f>
        <v>0</v>
      </c>
      <c r="E136" s="14"/>
      <c r="F136" s="20">
        <f>F132-F133-F134-F135</f>
        <v>0</v>
      </c>
      <c r="G136" s="18"/>
      <c r="H136" s="20">
        <f>H132-H133-H134-H135</f>
        <v>0</v>
      </c>
      <c r="I136" s="18"/>
      <c r="J136" s="20">
        <f>J132-J133-J134-J135</f>
        <v>0</v>
      </c>
      <c r="K136" s="18"/>
      <c r="L136" s="20">
        <f>L132-L133-L134-L135</f>
        <v>0</v>
      </c>
      <c r="M136" s="14"/>
      <c r="N136" s="20">
        <f>D136+F136+H136+J136+L136</f>
        <v>0</v>
      </c>
    </row>
    <row r="137" spans="1:15" ht="12.75" customHeight="1" x14ac:dyDescent="0.2">
      <c r="A137" s="27"/>
    </row>
    <row r="138" spans="1:15" x14ac:dyDescent="0.2">
      <c r="A138" s="25" t="s">
        <v>98</v>
      </c>
    </row>
    <row r="139" spans="1:15" x14ac:dyDescent="0.2">
      <c r="A139" s="27"/>
      <c r="B139" s="25"/>
    </row>
    <row r="140" spans="1:15" x14ac:dyDescent="0.2">
      <c r="A140" s="37" t="s">
        <v>99</v>
      </c>
      <c r="B140" s="151" t="s">
        <v>214</v>
      </c>
    </row>
    <row r="141" spans="1:15" x14ac:dyDescent="0.2">
      <c r="A141" s="27"/>
      <c r="B141" s="151" t="s">
        <v>215</v>
      </c>
    </row>
    <row r="142" spans="1:15" x14ac:dyDescent="0.2">
      <c r="A142" s="27"/>
      <c r="B142" s="151" t="s">
        <v>216</v>
      </c>
    </row>
    <row r="143" spans="1:15" x14ac:dyDescent="0.2">
      <c r="A143" s="27"/>
      <c r="B143" s="151" t="s">
        <v>217</v>
      </c>
    </row>
    <row r="144" spans="1:15" ht="12.75" customHeight="1" x14ac:dyDescent="0.2">
      <c r="A144" s="27"/>
      <c r="B144" s="151" t="s">
        <v>218</v>
      </c>
    </row>
    <row r="145" spans="1:2" ht="12.75" customHeight="1" x14ac:dyDescent="0.2">
      <c r="A145" s="27"/>
      <c r="B145" s="151"/>
    </row>
    <row r="146" spans="1:2" ht="12.75" customHeight="1" x14ac:dyDescent="0.2">
      <c r="A146" s="37" t="s">
        <v>102</v>
      </c>
      <c r="B146" s="151" t="s">
        <v>219</v>
      </c>
    </row>
    <row r="147" spans="1:2" ht="12.75" customHeight="1" x14ac:dyDescent="0.2">
      <c r="A147" s="27"/>
      <c r="B147" s="151" t="s">
        <v>220</v>
      </c>
    </row>
    <row r="148" spans="1:2" ht="8.1" customHeight="1" x14ac:dyDescent="0.2">
      <c r="A148" s="27"/>
      <c r="B148" s="151"/>
    </row>
    <row r="149" spans="1:2" ht="12.75" customHeight="1" x14ac:dyDescent="0.2">
      <c r="A149" s="37" t="s">
        <v>108</v>
      </c>
      <c r="B149" s="151" t="s">
        <v>221</v>
      </c>
    </row>
    <row r="150" spans="1:2" ht="12.75" customHeight="1" x14ac:dyDescent="0.2">
      <c r="A150" s="37"/>
      <c r="B150" s="151" t="s">
        <v>222</v>
      </c>
    </row>
    <row r="151" spans="1:2" ht="12.75" customHeight="1" x14ac:dyDescent="0.2">
      <c r="A151" s="27"/>
      <c r="B151" s="151" t="s">
        <v>223</v>
      </c>
    </row>
    <row r="152" spans="1:2" ht="8.1" customHeight="1" x14ac:dyDescent="0.2">
      <c r="A152" s="27"/>
      <c r="B152" s="151"/>
    </row>
    <row r="153" spans="1:2" ht="12.75" customHeight="1" x14ac:dyDescent="0.2">
      <c r="A153" s="37" t="s">
        <v>111</v>
      </c>
      <c r="B153" s="151" t="s">
        <v>224</v>
      </c>
    </row>
    <row r="154" spans="1:2" ht="12.75" customHeight="1" x14ac:dyDescent="0.2">
      <c r="A154" s="27"/>
      <c r="B154" s="151" t="s">
        <v>225</v>
      </c>
    </row>
    <row r="155" spans="1:2" ht="12.75" customHeight="1" x14ac:dyDescent="0.2">
      <c r="A155" s="27"/>
      <c r="B155" s="151" t="s">
        <v>226</v>
      </c>
    </row>
    <row r="156" spans="1:2" ht="12.75" customHeight="1" x14ac:dyDescent="0.2">
      <c r="A156" s="27"/>
      <c r="B156" s="151" t="s">
        <v>227</v>
      </c>
    </row>
    <row r="157" spans="1:2" ht="12.75" customHeight="1" x14ac:dyDescent="0.2">
      <c r="A157" s="27"/>
      <c r="B157" s="151" t="s">
        <v>228</v>
      </c>
    </row>
    <row r="158" spans="1:2" ht="12.75" customHeight="1" x14ac:dyDescent="0.2">
      <c r="A158" s="27"/>
      <c r="B158" s="151" t="s">
        <v>229</v>
      </c>
    </row>
    <row r="159" spans="1:2" ht="8.1" customHeight="1" x14ac:dyDescent="0.2">
      <c r="A159" s="27"/>
      <c r="B159" s="151"/>
    </row>
    <row r="160" spans="1:2" x14ac:dyDescent="0.2">
      <c r="A160" s="37" t="s">
        <v>115</v>
      </c>
      <c r="B160" t="s">
        <v>230</v>
      </c>
    </row>
    <row r="161" spans="1:8" x14ac:dyDescent="0.2">
      <c r="A161" s="27"/>
      <c r="B161" t="s">
        <v>231</v>
      </c>
    </row>
    <row r="162" spans="1:8" x14ac:dyDescent="0.2">
      <c r="A162" s="27"/>
      <c r="B162" t="s">
        <v>232</v>
      </c>
    </row>
    <row r="163" spans="1:8" x14ac:dyDescent="0.2">
      <c r="A163" s="27"/>
      <c r="B163" t="s">
        <v>233</v>
      </c>
    </row>
    <row r="164" spans="1:8" ht="8.1" customHeight="1" x14ac:dyDescent="0.2">
      <c r="A164" s="27"/>
    </row>
    <row r="165" spans="1:8" x14ac:dyDescent="0.2">
      <c r="A165" s="37" t="s">
        <v>234</v>
      </c>
      <c r="B165" t="s">
        <v>235</v>
      </c>
    </row>
    <row r="166" spans="1:8" x14ac:dyDescent="0.2">
      <c r="B166" t="s">
        <v>236</v>
      </c>
    </row>
    <row r="167" spans="1:8" x14ac:dyDescent="0.2">
      <c r="A167" s="27"/>
      <c r="B167" t="s">
        <v>237</v>
      </c>
    </row>
    <row r="168" spans="1:8" x14ac:dyDescent="0.2">
      <c r="A168" s="27"/>
      <c r="B168" t="s">
        <v>238</v>
      </c>
    </row>
    <row r="169" spans="1:8" x14ac:dyDescent="0.2">
      <c r="A169" s="27"/>
      <c r="B169" t="s">
        <v>239</v>
      </c>
    </row>
    <row r="170" spans="1:8" x14ac:dyDescent="0.2">
      <c r="A170" s="27"/>
      <c r="B170" s="151" t="s">
        <v>240</v>
      </c>
    </row>
    <row r="171" spans="1:8" x14ac:dyDescent="0.2">
      <c r="A171" s="27"/>
      <c r="B171" t="s">
        <v>241</v>
      </c>
    </row>
    <row r="172" spans="1:8" ht="8.1" customHeight="1" x14ac:dyDescent="0.2">
      <c r="A172" s="27"/>
    </row>
    <row r="173" spans="1:8" ht="132" customHeight="1" x14ac:dyDescent="0.2">
      <c r="A173" s="209" t="s">
        <v>242</v>
      </c>
      <c r="B173" s="559" t="s">
        <v>243</v>
      </c>
      <c r="C173" s="560"/>
      <c r="D173" s="560"/>
      <c r="E173" s="560"/>
      <c r="F173" s="560"/>
      <c r="G173" s="560"/>
      <c r="H173" s="560"/>
    </row>
    <row r="174" spans="1:8" x14ac:dyDescent="0.2">
      <c r="A174" s="27"/>
    </row>
    <row r="175" spans="1:8" x14ac:dyDescent="0.2">
      <c r="A175" s="241" t="s">
        <v>244</v>
      </c>
      <c r="B175" s="151" t="s">
        <v>245</v>
      </c>
    </row>
    <row r="176" spans="1:8" x14ac:dyDescent="0.2">
      <c r="B176" s="151" t="s">
        <v>246</v>
      </c>
    </row>
  </sheetData>
  <sheetProtection algorithmName="SHA-512" hashValue="NuazaJfx4YI9mu9OxFFQ1PQwM+yuEZxj4qq21s/NyinLLus+Cm7A9VoeURyNYDbzysSs9Y4Msfazc/vKsCYB5w==" saltValue="s47SUVNHWE4GjpX14+Bjlg==" spinCount="100000" sheet="1" objects="1" scenarios="1"/>
  <mergeCells count="8">
    <mergeCell ref="J4:J6"/>
    <mergeCell ref="L4:L6"/>
    <mergeCell ref="A7:B7"/>
    <mergeCell ref="A80:B80"/>
    <mergeCell ref="B173:H173"/>
    <mergeCell ref="D4:D6"/>
    <mergeCell ref="F4:F6"/>
    <mergeCell ref="H4:H6"/>
  </mergeCells>
  <conditionalFormatting sqref="D20 F20 H20 J20 L20 D28 F28 H28 J28 L28 D34 F34 H34 J34 L34 D40 F40 H40 J40 L40 D46 F46 H46 J46 L46 D58 F58 H58 J58 L58 D64 F64 H64 J64 L64 D71:D73 F71:F73 H71:H73 J71:J73 L71:L73 D77:D79 F77:F79 H77:H79 J77:J79 L77:L79 D87:D90 F87:F90 H87:H90 J87:J90 L87:L90 D97 F97 H97 J97 L97 D103:D105 F103:F105 H103:H105 J103:J105 L103:L105 D113:D115 F115 H115 J115 L115">
    <cfRule type="cellIs" dxfId="67" priority="10" stopIfTrue="1" operator="equal">
      <formula>"ERROR"</formula>
    </cfRule>
  </conditionalFormatting>
  <conditionalFormatting sqref="D52 F52 H52 J52 L52">
    <cfRule type="cellIs" dxfId="66" priority="3" stopIfTrue="1" operator="equal">
      <formula>"ERROR"</formula>
    </cfRule>
  </conditionalFormatting>
  <conditionalFormatting sqref="D109:D110 J109:J113 L109:L113">
    <cfRule type="cellIs" dxfId="65" priority="4" stopIfTrue="1" operator="equal">
      <formula>"ERROR"</formula>
    </cfRule>
  </conditionalFormatting>
  <conditionalFormatting sqref="E114:N114">
    <cfRule type="cellIs" dxfId="64" priority="5" stopIfTrue="1" operator="equal">
      <formula>"ERROR"</formula>
    </cfRule>
  </conditionalFormatting>
  <conditionalFormatting sqref="F109:F113 H109:H113">
    <cfRule type="cellIs" dxfId="63" priority="1" stopIfTrue="1" operator="equal">
      <formula>"ERROR"</formula>
    </cfRule>
  </conditionalFormatting>
  <conditionalFormatting sqref="O96">
    <cfRule type="cellIs" dxfId="62" priority="8" stopIfTrue="1" operator="equal">
      <formula>"See below error - Invested in capital assets"</formula>
    </cfRule>
  </conditionalFormatting>
  <conditionalFormatting sqref="O102 O108">
    <cfRule type="cellIs" dxfId="61" priority="7" stopIfTrue="1" operator="equal">
      <formula>"See below error - Invested in capital assets"</formula>
    </cfRule>
  </conditionalFormatting>
  <conditionalFormatting sqref="O123">
    <cfRule type="cellIs" dxfId="60" priority="9" stopIfTrue="1" operator="equal">
      <formula>"ERROR - Cannot be a negative amount. Review adjustments above, especially lines 80-95."</formula>
    </cfRule>
  </conditionalFormatting>
  <conditionalFormatting sqref="O129">
    <cfRule type="cellIs" dxfId="59" priority="6" stopIfTrue="1" operator="equal">
      <formula>"ERROR - Cannot be a negative amount. Review adjustments above, especially lines 25-26."</formula>
    </cfRule>
  </conditionalFormatting>
  <pageMargins left="0.7" right="0.7" top="0.75" bottom="0.75" header="0.3" footer="0.3"/>
  <pageSetup scale="57"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61"/>
  <sheetViews>
    <sheetView zoomScale="115" zoomScaleNormal="115" workbookViewId="0">
      <selection activeCell="F2" sqref="F2"/>
    </sheetView>
  </sheetViews>
  <sheetFormatPr defaultRowHeight="12.75" x14ac:dyDescent="0.2"/>
  <cols>
    <col min="1" max="1" width="3.7109375" customWidth="1"/>
    <col min="2" max="2" width="47.140625" customWidth="1"/>
    <col min="3" max="3" width="1.7109375" customWidth="1"/>
    <col min="4" max="4" width="16.85546875" customWidth="1"/>
    <col min="5" max="5" width="1.7109375" customWidth="1"/>
    <col min="6" max="6" width="16.5703125" customWidth="1"/>
    <col min="7" max="7" width="2.28515625" customWidth="1"/>
    <col min="8" max="8" width="15.42578125" customWidth="1"/>
    <col min="9" max="9" width="2" customWidth="1"/>
    <col min="10" max="10" width="10.85546875" customWidth="1"/>
    <col min="11" max="11" width="35.5703125" style="27" customWidth="1"/>
    <col min="12" max="12" width="41" style="141" customWidth="1"/>
    <col min="13" max="13" width="24.42578125" style="223" customWidth="1"/>
    <col min="14" max="14" width="15.85546875" customWidth="1"/>
    <col min="16" max="16" width="12.85546875" customWidth="1"/>
    <col min="17" max="17" width="9.42578125" customWidth="1"/>
  </cols>
  <sheetData>
    <row r="1" spans="1:18" ht="12.75" customHeight="1" x14ac:dyDescent="0.25">
      <c r="A1" s="1" t="str">
        <f>CONCATENATE(Info!D7," Foundations")</f>
        <v>UNC System Office Foundations</v>
      </c>
      <c r="C1" s="151"/>
      <c r="D1" s="31"/>
      <c r="E1" s="151"/>
      <c r="J1" s="31" t="s">
        <v>247</v>
      </c>
      <c r="K1" s="547" t="e">
        <f>VLOOKUP($F$3,Notes!$C$106:$D$116,2,FALSE)</f>
        <v>#N/A</v>
      </c>
      <c r="P1" s="228" t="s">
        <v>248</v>
      </c>
      <c r="Q1" s="228" t="str">
        <f>F3</f>
        <v>U10F</v>
      </c>
      <c r="R1" s="224" t="s">
        <v>249</v>
      </c>
    </row>
    <row r="2" spans="1:18" ht="12.75" customHeight="1" x14ac:dyDescent="0.25">
      <c r="A2" s="1" t="s">
        <v>250</v>
      </c>
      <c r="C2" s="151"/>
      <c r="D2" s="151"/>
      <c r="E2" s="151"/>
      <c r="L2" s="155"/>
      <c r="M2" s="225"/>
      <c r="N2" s="116"/>
      <c r="P2" s="228" t="s">
        <v>251</v>
      </c>
      <c r="Q2" s="228" t="str">
        <f>VLOOKUP(Info!D6,FCCSnum,2,FALSE)</f>
        <v>U100</v>
      </c>
      <c r="R2" s="224" t="s">
        <v>252</v>
      </c>
    </row>
    <row r="3" spans="1:18" ht="12.75" customHeight="1" x14ac:dyDescent="0.25">
      <c r="A3" s="102" t="s">
        <v>253</v>
      </c>
      <c r="C3" s="151"/>
      <c r="D3" s="151"/>
      <c r="E3" s="151"/>
      <c r="F3" s="27" t="str">
        <f>CONCATENATE(Info!D6,"F")</f>
        <v>U10F</v>
      </c>
      <c r="M3" s="225"/>
      <c r="N3" s="116"/>
    </row>
    <row r="4" spans="1:18" ht="12.75" customHeight="1" x14ac:dyDescent="0.25">
      <c r="A4" s="150" t="s">
        <v>53</v>
      </c>
      <c r="K4" s="445" t="s">
        <v>254</v>
      </c>
      <c r="L4" s="445" t="s">
        <v>254</v>
      </c>
      <c r="M4" s="225"/>
      <c r="N4" s="116"/>
    </row>
    <row r="5" spans="1:18" ht="12.75" customHeight="1" x14ac:dyDescent="0.25">
      <c r="D5" s="244" t="s">
        <v>255</v>
      </c>
      <c r="F5" s="4" t="s">
        <v>256</v>
      </c>
      <c r="H5" s="4" t="s">
        <v>257</v>
      </c>
      <c r="J5" s="4" t="s">
        <v>258</v>
      </c>
      <c r="K5" s="548" t="e">
        <f>"Significant variance above "&amp;TEXT(K1,"$0,000")</f>
        <v>#N/A</v>
      </c>
      <c r="L5" s="446" t="s">
        <v>259</v>
      </c>
      <c r="M5" s="225"/>
      <c r="N5" s="103"/>
    </row>
    <row r="6" spans="1:18" ht="13.5" x14ac:dyDescent="0.25">
      <c r="B6" s="1" t="s">
        <v>260</v>
      </c>
      <c r="L6" s="155"/>
      <c r="M6" s="225"/>
      <c r="N6" s="116"/>
    </row>
    <row r="7" spans="1:18" ht="13.5" x14ac:dyDescent="0.25">
      <c r="A7" s="33">
        <v>100</v>
      </c>
      <c r="B7" s="3" t="s">
        <v>56</v>
      </c>
      <c r="D7" s="28">
        <f ca="1">SUMIF(FASB_BS,A7,'Exh A'!$N$9:$N$45)</f>
        <v>0</v>
      </c>
      <c r="E7" s="12"/>
      <c r="F7" s="28">
        <f>HLOOKUP($F$3,PriorYrExhD!$E$2:$V$18,6,FALSE)</f>
        <v>0</v>
      </c>
      <c r="H7" s="104">
        <f ca="1">D7-F7</f>
        <v>0</v>
      </c>
      <c r="J7" s="103">
        <f t="shared" ref="J7:J18" ca="1" si="0">IF(F7=0,IF(D7=0,0,100%),H7/F7)</f>
        <v>0</v>
      </c>
      <c r="K7" s="549" t="str">
        <f ca="1">IF(D7=0," ",IF(AND(ABS(H7)&gt;$K$1,ABS(J7)&gt;0.15),"Explain variance at 'Comment' tab",IF(AND(ABS(D7+F7)&gt;0,F7=0,ABS(H7)&gt;$K$1),"Explain variance at 'Comment' tab"," ")))</f>
        <v xml:space="preserve"> </v>
      </c>
      <c r="L7" s="551" t="b">
        <f t="shared" ref="L7:L11" ca="1" si="1">IF($D$19&gt;0,IF(AND(D7&lt;&gt;0,H7=0,J7=0%),"Review reasonableness - no change",IF(AND(D7&gt;=0,J7&gt;=100%,H7&lt;&gt;0),"Review reasonableness 100% change or higher",IF(J7=-100%,"Review reasonabless -100% change",""))))</f>
        <v>0</v>
      </c>
      <c r="M7" s="226">
        <v>11111000</v>
      </c>
      <c r="N7" s="116"/>
    </row>
    <row r="8" spans="1:18" ht="13.5" x14ac:dyDescent="0.25">
      <c r="A8" s="33">
        <v>105</v>
      </c>
      <c r="B8" s="3" t="s">
        <v>58</v>
      </c>
      <c r="D8" s="12">
        <f ca="1">SUMIF(FASB_BS,A8,'Exh A'!$N$9:$N$45)+SUMIF(FASB_ADJ,A8,Adjustments!$N$7:$N$85)</f>
        <v>0</v>
      </c>
      <c r="E8" s="12"/>
      <c r="F8" s="12">
        <f>HLOOKUP($F$3,PriorYrExhD!$E$2:$V$18,7,FALSE)</f>
        <v>0</v>
      </c>
      <c r="H8" s="104">
        <f t="shared" ref="H8:H18" ca="1" si="2">D8-F8</f>
        <v>0</v>
      </c>
      <c r="J8" s="103">
        <f t="shared" ca="1" si="0"/>
        <v>0</v>
      </c>
      <c r="K8" s="549" t="str">
        <f ca="1">IF(D8=0," ",IF(AND(ABS(H8)&gt;$K$1,ABS(J8)&gt;0.15),"Explain variance at 'Comment' tab",IF(AND(ABS(D8+F8)&gt;0,F8=0,ABS(H8)&gt;$K$1),"Explain variance at 'Comment' tab"," ")))</f>
        <v xml:space="preserve"> </v>
      </c>
      <c r="L8" s="551" t="b">
        <f t="shared" ca="1" si="1"/>
        <v>0</v>
      </c>
      <c r="M8" s="226">
        <v>11210100</v>
      </c>
    </row>
    <row r="9" spans="1:18" ht="13.5" x14ac:dyDescent="0.25">
      <c r="A9" s="33">
        <v>110</v>
      </c>
      <c r="B9" s="214" t="s">
        <v>65</v>
      </c>
      <c r="D9" s="12">
        <f ca="1">SUMIF(FASB_BS,A9,'Exh A'!$N$9:$N$45)</f>
        <v>0</v>
      </c>
      <c r="E9" s="12"/>
      <c r="F9" s="12">
        <f>HLOOKUP($F$3,PriorYrExhD!$E$2:$V$18,8,FALSE)</f>
        <v>0</v>
      </c>
      <c r="H9" s="104">
        <f t="shared" ca="1" si="2"/>
        <v>0</v>
      </c>
      <c r="J9" s="103">
        <f t="shared" ca="1" si="0"/>
        <v>0</v>
      </c>
      <c r="K9" s="549" t="str">
        <f ca="1">IF(D9=0," ",IF(AND(ABS(H9)&gt;$K$1,ABS(J9)&gt;0.15),"Explain variance at 'Comment' tab",IF(AND(ABS(D9+F9)&gt;0,F9=0,ABS(H9)&gt;$K$1),"Explain variance at 'Comment' tab"," ")))</f>
        <v xml:space="preserve"> </v>
      </c>
      <c r="L9" s="551" t="b">
        <f t="shared" ca="1" si="1"/>
        <v>0</v>
      </c>
      <c r="M9" s="226">
        <v>11320000</v>
      </c>
    </row>
    <row r="10" spans="1:18" ht="13.5" x14ac:dyDescent="0.25">
      <c r="A10" s="33">
        <v>112</v>
      </c>
      <c r="B10" s="214" t="s">
        <v>261</v>
      </c>
      <c r="D10" s="12">
        <f ca="1">SUMIF(FASB_BS,A10,'Exh A'!$N$9:$N$45)</f>
        <v>0</v>
      </c>
      <c r="E10" s="12"/>
      <c r="F10" s="12">
        <f>HLOOKUP($F$3,PriorYrExhD!$E$2:$V$18,9,FALSE)</f>
        <v>0</v>
      </c>
      <c r="H10" s="104">
        <f t="shared" ca="1" si="2"/>
        <v>0</v>
      </c>
      <c r="J10" s="103">
        <f t="shared" ca="1" si="0"/>
        <v>0</v>
      </c>
      <c r="K10" s="549" t="str">
        <f t="shared" ref="K10:K18" ca="1" si="3">IF(D10=0," ",IF(AND(ABS(H10)&gt;$K$1,ABS(J10)&gt;0.15),"Explain variance at 'Comment' tab",IF(AND(ABS(D10+F10)&gt;0,F10=0,ABS(H10)&gt;$K$1),"Explain variance at 'Comment' tab"," ")))</f>
        <v xml:space="preserve"> </v>
      </c>
      <c r="L10" s="551" t="b">
        <f t="shared" ca="1" si="1"/>
        <v>0</v>
      </c>
      <c r="M10" s="226">
        <v>11480000</v>
      </c>
    </row>
    <row r="11" spans="1:18" ht="13.5" x14ac:dyDescent="0.25">
      <c r="A11" s="33">
        <v>115</v>
      </c>
      <c r="B11" s="3" t="s">
        <v>68</v>
      </c>
      <c r="D11" s="12">
        <f ca="1">SUMIF(FASB_BS,A11,'Exh A'!$N$9:$N$45)</f>
        <v>0</v>
      </c>
      <c r="E11" s="12"/>
      <c r="F11" s="12">
        <f>HLOOKUP($F$3,PriorYrExhD!$E$2:$V$18,10,FALSE)</f>
        <v>0</v>
      </c>
      <c r="H11" s="104">
        <f t="shared" ca="1" si="2"/>
        <v>0</v>
      </c>
      <c r="J11" s="103">
        <f t="shared" ca="1" si="0"/>
        <v>0</v>
      </c>
      <c r="K11" s="549" t="str">
        <f t="shared" ca="1" si="3"/>
        <v xml:space="preserve"> </v>
      </c>
      <c r="L11" s="551" t="b">
        <f t="shared" ca="1" si="1"/>
        <v>0</v>
      </c>
      <c r="M11" s="226">
        <v>11611000</v>
      </c>
    </row>
    <row r="12" spans="1:18" ht="13.5" x14ac:dyDescent="0.25">
      <c r="A12" s="33">
        <v>120</v>
      </c>
      <c r="B12" s="3" t="s">
        <v>262</v>
      </c>
      <c r="D12" s="12">
        <f ca="1">SUMIF(FASB_BS,A12,'Exh A'!$N$9:$N$45)</f>
        <v>0</v>
      </c>
      <c r="E12" s="12"/>
      <c r="F12" s="12">
        <f>HLOOKUP($F$3,PriorYrExhD!$E$2:$V$18,11,FALSE)</f>
        <v>0</v>
      </c>
      <c r="H12" s="104">
        <f t="shared" ca="1" si="2"/>
        <v>0</v>
      </c>
      <c r="J12" s="103">
        <f t="shared" ca="1" si="0"/>
        <v>0</v>
      </c>
      <c r="K12" s="549" t="str">
        <f t="shared" ca="1" si="3"/>
        <v xml:space="preserve"> </v>
      </c>
      <c r="L12" s="551" t="b">
        <f ca="1">IF($D$19&gt;0,IF(AND(D12&lt;&gt;0,H12=0,J12=0%),"Review reasonableness - no change",IF(AND(D12&gt;=0,J12&gt;=100%,H12&lt;&gt;0),"Review reasonableness 100% change or higher",IF(J12=-100%,"Review reasonabless -100% change",""))))</f>
        <v>0</v>
      </c>
      <c r="M12" s="226">
        <v>11910000</v>
      </c>
    </row>
    <row r="13" spans="1:18" ht="13.5" x14ac:dyDescent="0.25">
      <c r="A13" s="33">
        <v>125</v>
      </c>
      <c r="B13" s="3" t="s">
        <v>263</v>
      </c>
      <c r="D13" s="12">
        <f ca="1">SUMIF(FASB_BS,A13,'Exh A'!$N$9:$N$45)</f>
        <v>0</v>
      </c>
      <c r="E13" s="12"/>
      <c r="F13" s="12">
        <f>HLOOKUP($F$3,PriorYrExhD!$E$2:$V$18,12,FALSE)</f>
        <v>0</v>
      </c>
      <c r="H13" s="104">
        <f t="shared" ca="1" si="2"/>
        <v>0</v>
      </c>
      <c r="J13" s="103">
        <f t="shared" ca="1" si="0"/>
        <v>0</v>
      </c>
      <c r="K13" s="549" t="str">
        <f t="shared" ca="1" si="3"/>
        <v xml:space="preserve"> </v>
      </c>
      <c r="L13" s="551" t="b">
        <f t="shared" ref="L13:L18" ca="1" si="4">IF($D$19&gt;0,IF(AND(D13&lt;&gt;0,H13=0,J13=0%),"Review reasonableness - no change",IF(AND(D13&gt;=0,J13&gt;=100%,H13&lt;&gt;0),"Review reasonableness 100% change or higher",IF(J13=-100%,"Review reasonabless -100% change",""))))</f>
        <v>0</v>
      </c>
      <c r="M13" s="226">
        <v>11510000</v>
      </c>
    </row>
    <row r="14" spans="1:18" ht="13.5" x14ac:dyDescent="0.25">
      <c r="A14" s="33">
        <v>126</v>
      </c>
      <c r="B14" s="513" t="s">
        <v>264</v>
      </c>
      <c r="D14" s="12">
        <f ca="1">SUMIF(FASB_BS,A14,'Exh A'!$N$9:$N$45)</f>
        <v>0</v>
      </c>
      <c r="E14" s="12"/>
      <c r="F14" s="12">
        <f>HLOOKUP($F$3,PriorYrExhD!$E$2:$V$18,13,FALSE)</f>
        <v>0</v>
      </c>
      <c r="H14" s="104">
        <f t="shared" ref="H14" ca="1" si="5">D14-F14</f>
        <v>0</v>
      </c>
      <c r="J14" s="103">
        <f t="shared" ca="1" si="0"/>
        <v>0</v>
      </c>
      <c r="K14" s="549" t="str">
        <f t="shared" ca="1" si="3"/>
        <v xml:space="preserve"> </v>
      </c>
      <c r="L14" s="551" t="b">
        <f t="shared" ca="1" si="4"/>
        <v>0</v>
      </c>
      <c r="M14" s="439">
        <v>11351000</v>
      </c>
      <c r="N14" s="440" t="s">
        <v>254</v>
      </c>
    </row>
    <row r="15" spans="1:18" ht="13.5" x14ac:dyDescent="0.25">
      <c r="A15" s="33">
        <v>128</v>
      </c>
      <c r="B15" s="3" t="s">
        <v>265</v>
      </c>
      <c r="D15" s="12">
        <f ca="1">SUMIF(FASB_BS,A15,'Exh A'!$N$9:$N$45)</f>
        <v>0</v>
      </c>
      <c r="E15" s="12"/>
      <c r="F15" s="12">
        <f>HLOOKUP($F$3,PriorYrExhD!$E$2:$V$18,14,FALSE)</f>
        <v>0</v>
      </c>
      <c r="H15" s="104">
        <f ca="1">D15-F15</f>
        <v>0</v>
      </c>
      <c r="J15" s="103">
        <f t="shared" ca="1" si="0"/>
        <v>0</v>
      </c>
      <c r="K15" s="549" t="str">
        <f t="shared" ca="1" si="3"/>
        <v xml:space="preserve"> </v>
      </c>
      <c r="L15" s="551" t="b">
        <f t="shared" ca="1" si="4"/>
        <v>0</v>
      </c>
      <c r="M15" s="226" t="s">
        <v>266</v>
      </c>
    </row>
    <row r="16" spans="1:18" ht="13.5" x14ac:dyDescent="0.25">
      <c r="A16" s="33">
        <v>130</v>
      </c>
      <c r="B16" s="3" t="s">
        <v>267</v>
      </c>
      <c r="D16" s="12">
        <f ca="1">SUMIF(FASB_ADJ,A16,Adjustments!$N$7:$N$85)</f>
        <v>0</v>
      </c>
      <c r="E16" s="12"/>
      <c r="F16" s="12">
        <f>HLOOKUP($F$3,PriorYrExhD!$E$2:$V$18,15,FALSE)</f>
        <v>0</v>
      </c>
      <c r="H16" s="104">
        <f t="shared" ca="1" si="2"/>
        <v>0</v>
      </c>
      <c r="J16" s="103">
        <f t="shared" ca="1" si="0"/>
        <v>0</v>
      </c>
      <c r="K16" s="549" t="str">
        <f t="shared" ca="1" si="3"/>
        <v xml:space="preserve"> </v>
      </c>
      <c r="L16" s="551" t="b">
        <f t="shared" ca="1" si="4"/>
        <v>0</v>
      </c>
      <c r="M16" s="226">
        <v>11212500</v>
      </c>
    </row>
    <row r="17" spans="1:15" ht="13.5" x14ac:dyDescent="0.25">
      <c r="A17" s="33">
        <v>140</v>
      </c>
      <c r="B17" s="3" t="s">
        <v>268</v>
      </c>
      <c r="D17" s="12">
        <f ca="1">SUMIF(FASB_ADJ,A17,Adjustments!$N$7:$N$85)</f>
        <v>0</v>
      </c>
      <c r="E17" s="12"/>
      <c r="F17" s="12">
        <f>HLOOKUP($F$3,PriorYrExhD!$E$2:$V$18,16,FALSE)</f>
        <v>0</v>
      </c>
      <c r="H17" s="104">
        <f t="shared" ca="1" si="2"/>
        <v>0</v>
      </c>
      <c r="J17" s="103">
        <f t="shared" ca="1" si="0"/>
        <v>0</v>
      </c>
      <c r="K17" s="549" t="str">
        <f t="shared" ca="1" si="3"/>
        <v xml:space="preserve"> </v>
      </c>
      <c r="L17" s="551" t="b">
        <f t="shared" ca="1" si="4"/>
        <v>0</v>
      </c>
      <c r="M17" s="226">
        <v>12700000</v>
      </c>
    </row>
    <row r="18" spans="1:15" ht="13.5" x14ac:dyDescent="0.25">
      <c r="A18" s="33">
        <v>145</v>
      </c>
      <c r="B18" s="3" t="s">
        <v>269</v>
      </c>
      <c r="D18" s="12">
        <f ca="1">SUMIF(FASB_ADJ,A18,Adjustments!$N$7:$N$85)</f>
        <v>0</v>
      </c>
      <c r="E18" s="12"/>
      <c r="F18" s="12">
        <f>HLOOKUP($F$3,PriorYrExhD!$E$2:$V$18,17,FALSE)</f>
        <v>0</v>
      </c>
      <c r="H18" s="104">
        <f t="shared" ca="1" si="2"/>
        <v>0</v>
      </c>
      <c r="J18" s="103">
        <f t="shared" ca="1" si="0"/>
        <v>0</v>
      </c>
      <c r="K18" s="549" t="str">
        <f t="shared" ca="1" si="3"/>
        <v xml:space="preserve"> </v>
      </c>
      <c r="L18" s="551" t="b">
        <f t="shared" ca="1" si="4"/>
        <v>0</v>
      </c>
      <c r="M18" s="226">
        <v>12710000</v>
      </c>
    </row>
    <row r="19" spans="1:15" x14ac:dyDescent="0.2">
      <c r="A19" s="33"/>
      <c r="B19" s="1" t="s">
        <v>76</v>
      </c>
      <c r="D19" s="21">
        <f ca="1">SUM(D7:D18)</f>
        <v>0</v>
      </c>
      <c r="E19" s="12"/>
      <c r="F19" s="21">
        <f>SUM(F7:F18)</f>
        <v>0</v>
      </c>
    </row>
    <row r="20" spans="1:15" ht="12.75" customHeight="1" x14ac:dyDescent="0.2">
      <c r="A20" s="33"/>
      <c r="B20" s="1"/>
    </row>
    <row r="21" spans="1:15" x14ac:dyDescent="0.2">
      <c r="A21" s="33"/>
      <c r="B21" s="1" t="s">
        <v>270</v>
      </c>
      <c r="N21" s="455"/>
      <c r="O21" s="456"/>
    </row>
    <row r="22" spans="1:15" ht="13.5" x14ac:dyDescent="0.25">
      <c r="A22" s="33">
        <v>200</v>
      </c>
      <c r="B22" s="214" t="s">
        <v>271</v>
      </c>
      <c r="D22" s="12">
        <f ca="1">SUMIF(FASB_BS,A22,'Exh A'!$N$9:$N$45)</f>
        <v>0</v>
      </c>
      <c r="E22" s="12"/>
      <c r="F22" s="12">
        <f>HLOOKUP($F$3,PriorYrExhD!$E$2:$V$31,21,FALSE)</f>
        <v>0</v>
      </c>
      <c r="H22" s="104">
        <f ca="1">D22-F22</f>
        <v>0</v>
      </c>
      <c r="J22" s="103">
        <f t="shared" ref="J22:J31" ca="1" si="6">IF(F22=0,IF(D22=0,0,100%),H22/F22)</f>
        <v>0</v>
      </c>
      <c r="K22" s="549" t="str">
        <f t="shared" ref="K22:K31" ca="1" si="7">IF(D22=0," ",IF(AND(ABS(H22)&gt;$K$1,ABS(J22)&gt;0.15),"Explain variance at 'Comment' tab",IF(AND(ABS(D22+F22)&gt;0,F22=0,ABS(H22)&gt;$K$1),"Explain variance at 'Comment' tab"," ")))</f>
        <v xml:space="preserve"> </v>
      </c>
      <c r="L22" s="551" t="b">
        <f t="shared" ref="L22:L31" ca="1" si="8">IF($D$19&gt;0,IF(AND(D22&lt;&gt;0,H22=0,J22=0%),"Review reasonableness - no change",IF(AND(D22&gt;=0,J22&gt;=100%,H22&lt;&gt;0),"Review reasonableness 100% change or higher",IF(J22=-100%,"Review reasonabless -100% change",""))))</f>
        <v>0</v>
      </c>
      <c r="M22" s="226">
        <v>21110000</v>
      </c>
    </row>
    <row r="23" spans="1:15" ht="15" x14ac:dyDescent="0.25">
      <c r="A23" s="33">
        <v>202</v>
      </c>
      <c r="B23" s="214" t="s">
        <v>272</v>
      </c>
      <c r="D23" s="12">
        <f ca="1">SUMIF(FASB_BS,A23,'Exh A'!$N$9:$N$45)</f>
        <v>0</v>
      </c>
      <c r="E23" s="12"/>
      <c r="F23" s="12">
        <f>HLOOKUP($F$3,PriorYrExhD!$E$2:$V$31,22,FALSE)</f>
        <v>0</v>
      </c>
      <c r="H23" s="104">
        <f t="shared" ref="H23:H31" ca="1" si="9">D23-F23</f>
        <v>0</v>
      </c>
      <c r="J23" s="103">
        <f t="shared" ca="1" si="6"/>
        <v>0</v>
      </c>
      <c r="K23" s="549" t="str">
        <f t="shared" ca="1" si="7"/>
        <v xml:space="preserve"> </v>
      </c>
      <c r="L23" s="551" t="b">
        <f t="shared" ca="1" si="8"/>
        <v>0</v>
      </c>
      <c r="M23" s="226">
        <v>21270000</v>
      </c>
    </row>
    <row r="24" spans="1:15" ht="15" x14ac:dyDescent="0.25">
      <c r="A24" s="33">
        <v>203</v>
      </c>
      <c r="B24" s="214" t="s">
        <v>273</v>
      </c>
      <c r="D24" s="12">
        <f ca="1">SUMIF(FASB_BS,A24,'Exh A'!$N$9:$N$45)</f>
        <v>0</v>
      </c>
      <c r="E24" s="12"/>
      <c r="F24" s="12">
        <f>HLOOKUP($F$3,PriorYrExhD!$E$2:$V$31,23,FALSE)</f>
        <v>0</v>
      </c>
      <c r="H24" s="104">
        <f t="shared" ca="1" si="9"/>
        <v>0</v>
      </c>
      <c r="J24" s="103">
        <f t="shared" ca="1" si="6"/>
        <v>0</v>
      </c>
      <c r="K24" s="549" t="str">
        <f t="shared" ca="1" si="7"/>
        <v xml:space="preserve"> </v>
      </c>
      <c r="L24" s="551" t="b">
        <f t="shared" ca="1" si="8"/>
        <v>0</v>
      </c>
      <c r="M24" s="226" t="s">
        <v>274</v>
      </c>
    </row>
    <row r="25" spans="1:15" ht="13.5" x14ac:dyDescent="0.25">
      <c r="A25" s="33">
        <v>205</v>
      </c>
      <c r="B25" s="214" t="s">
        <v>81</v>
      </c>
      <c r="D25" s="12">
        <f ca="1">SUMIF(FASB_BS,A25,'Exh A'!$N$9:$N$45)</f>
        <v>0</v>
      </c>
      <c r="E25" s="12"/>
      <c r="F25" s="12">
        <f>HLOOKUP($F$3,PriorYrExhD!$E$2:$V$31,24,FALSE)</f>
        <v>0</v>
      </c>
      <c r="H25" s="104">
        <f t="shared" ca="1" si="9"/>
        <v>0</v>
      </c>
      <c r="J25" s="103">
        <f t="shared" ca="1" si="6"/>
        <v>0</v>
      </c>
      <c r="K25" s="549" t="str">
        <f t="shared" ca="1" si="7"/>
        <v xml:space="preserve"> </v>
      </c>
      <c r="L25" s="551" t="b">
        <f t="shared" ca="1" si="8"/>
        <v>0</v>
      </c>
      <c r="M25" s="226">
        <v>21811000</v>
      </c>
    </row>
    <row r="26" spans="1:15" ht="13.5" x14ac:dyDescent="0.25">
      <c r="A26" s="33">
        <v>210</v>
      </c>
      <c r="B26" s="214" t="s">
        <v>82</v>
      </c>
      <c r="D26" s="12">
        <f ca="1">SUMIF(FASB_BS,A26,'Exh A'!$N$9:$N$45)</f>
        <v>0</v>
      </c>
      <c r="E26" s="12"/>
      <c r="F26" s="12">
        <f>HLOOKUP($F$3,PriorYrExhD!$E$2:$V$31,25,FALSE)</f>
        <v>0</v>
      </c>
      <c r="H26" s="104">
        <f t="shared" ca="1" si="9"/>
        <v>0</v>
      </c>
      <c r="J26" s="103">
        <f t="shared" ca="1" si="6"/>
        <v>0</v>
      </c>
      <c r="K26" s="549" t="str">
        <f t="shared" ca="1" si="7"/>
        <v xml:space="preserve"> </v>
      </c>
      <c r="L26" s="551" t="b">
        <f t="shared" ca="1" si="8"/>
        <v>0</v>
      </c>
      <c r="M26" s="226">
        <v>21621000</v>
      </c>
    </row>
    <row r="27" spans="1:15" ht="13.5" x14ac:dyDescent="0.25">
      <c r="A27" s="33">
        <v>215</v>
      </c>
      <c r="B27" s="214" t="s">
        <v>83</v>
      </c>
      <c r="D27" s="12">
        <f ca="1">SUMIF(FASB_BS,A27,'Exh A'!$N$9:$N$45)</f>
        <v>0</v>
      </c>
      <c r="E27" s="12"/>
      <c r="F27" s="12">
        <f>HLOOKUP($F$3,PriorYrExhD!$E$2:$V$31,26,FALSE)</f>
        <v>0</v>
      </c>
      <c r="H27" s="104">
        <f t="shared" ca="1" si="9"/>
        <v>0</v>
      </c>
      <c r="J27" s="103">
        <f t="shared" ca="1" si="6"/>
        <v>0</v>
      </c>
      <c r="K27" s="549" t="str">
        <f t="shared" ca="1" si="7"/>
        <v xml:space="preserve"> </v>
      </c>
      <c r="L27" s="551" t="b">
        <f t="shared" ca="1" si="8"/>
        <v>0</v>
      </c>
      <c r="M27" s="226">
        <v>21712000</v>
      </c>
    </row>
    <row r="28" spans="1:15" ht="13.5" x14ac:dyDescent="0.25">
      <c r="A28" s="33">
        <v>220</v>
      </c>
      <c r="B28" s="214" t="s">
        <v>84</v>
      </c>
      <c r="D28" s="12">
        <f ca="1">SUMIF(FASB_BS,A28,'Exh A'!$N$9:$N$45)</f>
        <v>0</v>
      </c>
      <c r="E28" s="12"/>
      <c r="F28" s="12">
        <f>HLOOKUP($F$3,PriorYrExhD!$E$2:$V$31,27,FALSE)</f>
        <v>0</v>
      </c>
      <c r="H28" s="104">
        <f t="shared" ca="1" si="9"/>
        <v>0</v>
      </c>
      <c r="J28" s="103">
        <f t="shared" ca="1" si="6"/>
        <v>0</v>
      </c>
      <c r="K28" s="549" t="str">
        <f t="shared" ca="1" si="7"/>
        <v xml:space="preserve"> </v>
      </c>
      <c r="L28" s="551" t="b">
        <f t="shared" ca="1" si="8"/>
        <v>0</v>
      </c>
      <c r="M28" s="226">
        <v>21719000</v>
      </c>
    </row>
    <row r="29" spans="1:15" ht="13.5" x14ac:dyDescent="0.25">
      <c r="A29" s="33"/>
      <c r="B29" s="214" t="s">
        <v>275</v>
      </c>
      <c r="D29" s="12"/>
      <c r="E29" s="12"/>
      <c r="F29" s="12">
        <f>HLOOKUP($F$3,PriorYrExhD!$E$2:$V$31,28,FALSE)</f>
        <v>0</v>
      </c>
      <c r="H29" s="104">
        <f t="shared" si="9"/>
        <v>0</v>
      </c>
      <c r="J29" s="103">
        <f t="shared" si="6"/>
        <v>0</v>
      </c>
      <c r="K29" s="549" t="str">
        <f t="shared" si="7"/>
        <v xml:space="preserve"> </v>
      </c>
      <c r="L29" s="551" t="b">
        <f t="shared" ca="1" si="8"/>
        <v>0</v>
      </c>
    </row>
    <row r="30" spans="1:15" ht="13.5" x14ac:dyDescent="0.25">
      <c r="A30" s="33">
        <v>260</v>
      </c>
      <c r="B30" s="245" t="s">
        <v>276</v>
      </c>
      <c r="D30" s="12">
        <f ca="1">SUMIF(FASB_ADJ,A30,Adjustments!$N$7:$N$85)</f>
        <v>0</v>
      </c>
      <c r="E30" s="12"/>
      <c r="F30" s="12">
        <f>HLOOKUP($F$3,PriorYrExhD!$E$2:$V$31,29,FALSE)</f>
        <v>0</v>
      </c>
      <c r="H30" s="104">
        <f t="shared" ca="1" si="9"/>
        <v>0</v>
      </c>
      <c r="J30" s="103">
        <f t="shared" ca="1" si="6"/>
        <v>0</v>
      </c>
      <c r="K30" s="549" t="str">
        <f t="shared" ca="1" si="7"/>
        <v xml:space="preserve"> </v>
      </c>
      <c r="L30" s="551" t="b">
        <f t="shared" ca="1" si="8"/>
        <v>0</v>
      </c>
      <c r="M30" s="226" t="s">
        <v>277</v>
      </c>
      <c r="N30" s="468"/>
      <c r="O30" s="12"/>
    </row>
    <row r="31" spans="1:15" ht="13.5" x14ac:dyDescent="0.25">
      <c r="A31" s="33">
        <v>261</v>
      </c>
      <c r="B31" s="245" t="s">
        <v>278</v>
      </c>
      <c r="D31" s="10">
        <f ca="1">SUMIF(FASB_ADJ,A31,Adjustments!$N$7:$N$85)</f>
        <v>1000</v>
      </c>
      <c r="E31" s="12"/>
      <c r="F31" s="12">
        <f>HLOOKUP($F$3,PriorYrExhD!$E$2:$V$31,30,FALSE)</f>
        <v>0</v>
      </c>
      <c r="H31" s="104">
        <f t="shared" ca="1" si="9"/>
        <v>1000</v>
      </c>
      <c r="J31" s="103">
        <f t="shared" ca="1" si="6"/>
        <v>1</v>
      </c>
      <c r="K31" s="549" t="e">
        <f t="shared" ca="1" si="7"/>
        <v>#N/A</v>
      </c>
      <c r="L31" s="551" t="b">
        <f t="shared" ca="1" si="8"/>
        <v>0</v>
      </c>
      <c r="M31" s="226" t="s">
        <v>279</v>
      </c>
      <c r="N31" s="468"/>
      <c r="O31" s="12"/>
    </row>
    <row r="32" spans="1:15" x14ac:dyDescent="0.2">
      <c r="B32" s="1" t="s">
        <v>92</v>
      </c>
      <c r="D32" s="10">
        <f ca="1">SUM(D22:D31)</f>
        <v>1000</v>
      </c>
      <c r="E32" s="12"/>
      <c r="F32" s="21">
        <f>SUM(F22:F31)</f>
        <v>0</v>
      </c>
    </row>
    <row r="33" spans="1:14" ht="12.75" customHeight="1" x14ac:dyDescent="0.2">
      <c r="B33" s="151"/>
    </row>
    <row r="34" spans="1:14" x14ac:dyDescent="0.2">
      <c r="B34" s="1" t="s">
        <v>280</v>
      </c>
    </row>
    <row r="35" spans="1:14" ht="13.5" x14ac:dyDescent="0.25">
      <c r="B35" s="151" t="s">
        <v>281</v>
      </c>
      <c r="D35" s="12">
        <f>Adjustments!N123</f>
        <v>0</v>
      </c>
      <c r="E35" s="12"/>
      <c r="F35" s="12">
        <f>HLOOKUP($F$3,PriorYrExhD!$E$2:$V$41,34,FALSE)</f>
        <v>0</v>
      </c>
      <c r="H35" s="104">
        <f>D35-F35</f>
        <v>0</v>
      </c>
      <c r="J35" s="103">
        <f t="shared" ref="J35" si="10">IF(F35=0,IF(D35=0,0,100%),H35/F35)</f>
        <v>0</v>
      </c>
      <c r="M35" s="226" t="s">
        <v>282</v>
      </c>
      <c r="N35" s="227" t="s">
        <v>283</v>
      </c>
    </row>
    <row r="36" spans="1:14" x14ac:dyDescent="0.2">
      <c r="B36" t="s">
        <v>284</v>
      </c>
      <c r="M36" s="226"/>
      <c r="N36" s="227"/>
    </row>
    <row r="37" spans="1:14" x14ac:dyDescent="0.2">
      <c r="B37" s="3" t="s">
        <v>285</v>
      </c>
      <c r="M37" s="226"/>
      <c r="N37" s="227"/>
    </row>
    <row r="38" spans="1:14" ht="13.5" x14ac:dyDescent="0.25">
      <c r="B38" s="2" t="s">
        <v>286</v>
      </c>
      <c r="D38" s="12">
        <f>Adjustments!N111</f>
        <v>0</v>
      </c>
      <c r="E38" s="12"/>
      <c r="F38" s="12">
        <f>HLOOKUP($F$3,PriorYrExhD!$E$2:$V$41,37,FALSE)</f>
        <v>0</v>
      </c>
      <c r="H38" s="104">
        <f>D38-F38</f>
        <v>0</v>
      </c>
      <c r="J38" s="103">
        <f t="shared" ref="J38" si="11">IF(F38=0,IF(D38=0,0,100%),H38/F38)</f>
        <v>0</v>
      </c>
      <c r="K38" s="438"/>
      <c r="M38" s="226" t="s">
        <v>287</v>
      </c>
      <c r="N38" s="227" t="s">
        <v>288</v>
      </c>
    </row>
    <row r="39" spans="1:14" x14ac:dyDescent="0.2">
      <c r="B39" s="3" t="s">
        <v>289</v>
      </c>
      <c r="M39" s="226"/>
      <c r="N39" s="227"/>
    </row>
    <row r="40" spans="1:14" ht="13.5" x14ac:dyDescent="0.25">
      <c r="B40" s="2" t="s">
        <v>286</v>
      </c>
      <c r="D40" s="12">
        <f>Adjustments!N129</f>
        <v>0</v>
      </c>
      <c r="E40" s="12"/>
      <c r="F40" s="12">
        <f>HLOOKUP($F$3,PriorYrExhD!$E$2:$V$41,39,FALSE)</f>
        <v>0</v>
      </c>
      <c r="H40" s="104">
        <f>D40-F40</f>
        <v>0</v>
      </c>
      <c r="J40" s="103">
        <f t="shared" ref="J40:J41" si="12">IF(F40=0,IF(D40=0,0,100%),H40/F40)</f>
        <v>0</v>
      </c>
      <c r="M40" s="226" t="s">
        <v>290</v>
      </c>
      <c r="N40" s="227" t="s">
        <v>288</v>
      </c>
    </row>
    <row r="41" spans="1:14" ht="13.5" x14ac:dyDescent="0.25">
      <c r="B41" t="s">
        <v>291</v>
      </c>
      <c r="D41" s="10">
        <f>Adjustments!N136</f>
        <v>0</v>
      </c>
      <c r="E41" s="12"/>
      <c r="F41" s="12">
        <f>HLOOKUP($F$3,PriorYrExhD!$E$2:$V$41,40,FALSE)</f>
        <v>0</v>
      </c>
      <c r="H41" s="104">
        <f>D41-F41</f>
        <v>0</v>
      </c>
      <c r="J41" s="103">
        <f t="shared" si="12"/>
        <v>0</v>
      </c>
      <c r="M41" s="226" t="s">
        <v>292</v>
      </c>
      <c r="N41" s="227" t="s">
        <v>293</v>
      </c>
    </row>
    <row r="42" spans="1:14" ht="13.5" thickBot="1" x14ac:dyDescent="0.25">
      <c r="B42" s="1" t="s">
        <v>294</v>
      </c>
      <c r="D42" s="11">
        <f>SUM(D35:D41)</f>
        <v>0</v>
      </c>
      <c r="E42" s="12"/>
      <c r="F42" s="11">
        <f>SUM(F35:F41)</f>
        <v>0</v>
      </c>
    </row>
    <row r="43" spans="1:14" ht="13.5" thickTop="1" x14ac:dyDescent="0.2"/>
    <row r="44" spans="1:14" x14ac:dyDescent="0.2">
      <c r="B44" s="23" t="s">
        <v>295</v>
      </c>
      <c r="D44" s="35" t="str">
        <f ca="1">IF(D19-D32=D42,"OK","ERROR")</f>
        <v>ERROR</v>
      </c>
      <c r="F44" s="35" t="str">
        <f>IF(F19-F32=F42,"OK","ERROR")</f>
        <v>OK</v>
      </c>
    </row>
    <row r="45" spans="1:14" x14ac:dyDescent="0.2">
      <c r="B45" s="23"/>
    </row>
    <row r="46" spans="1:14" x14ac:dyDescent="0.2">
      <c r="A46" s="25" t="s">
        <v>98</v>
      </c>
    </row>
    <row r="48" spans="1:14" x14ac:dyDescent="0.2">
      <c r="A48" s="47" t="s">
        <v>99</v>
      </c>
      <c r="B48" t="s">
        <v>296</v>
      </c>
    </row>
    <row r="49" spans="1:2" x14ac:dyDescent="0.2">
      <c r="B49" t="s">
        <v>297</v>
      </c>
    </row>
    <row r="51" spans="1:2" x14ac:dyDescent="0.2">
      <c r="A51" s="150" t="s">
        <v>102</v>
      </c>
      <c r="B51" s="151" t="s">
        <v>298</v>
      </c>
    </row>
    <row r="52" spans="1:2" x14ac:dyDescent="0.2">
      <c r="B52" s="151" t="s">
        <v>299</v>
      </c>
    </row>
    <row r="53" spans="1:2" x14ac:dyDescent="0.2">
      <c r="B53" s="151" t="s">
        <v>300</v>
      </c>
    </row>
    <row r="54" spans="1:2" x14ac:dyDescent="0.2">
      <c r="B54" s="151" t="s">
        <v>301</v>
      </c>
    </row>
    <row r="56" spans="1:2" x14ac:dyDescent="0.2">
      <c r="B56" s="231" t="s">
        <v>302</v>
      </c>
    </row>
    <row r="57" spans="1:2" x14ac:dyDescent="0.2">
      <c r="B57" s="231" t="s">
        <v>303</v>
      </c>
    </row>
    <row r="58" spans="1:2" x14ac:dyDescent="0.2">
      <c r="B58" s="231" t="s">
        <v>304</v>
      </c>
    </row>
    <row r="59" spans="1:2" x14ac:dyDescent="0.2">
      <c r="B59" s="231" t="s">
        <v>305</v>
      </c>
    </row>
    <row r="60" spans="1:2" x14ac:dyDescent="0.2">
      <c r="B60" s="231" t="s">
        <v>306</v>
      </c>
    </row>
    <row r="61" spans="1:2" x14ac:dyDescent="0.2">
      <c r="B61" s="231" t="s">
        <v>307</v>
      </c>
    </row>
  </sheetData>
  <sheetProtection algorithmName="SHA-512" hashValue="SNzAJtyiNlyvHtTbOEZGdHQtDov4ZXi/Ejqdu+ibN4dO7Wcey99eQw0IWS+euYw/cviKcVe24j3sZYGRdpKC+w==" saltValue="RBW5tVi69DWzZvLY0gWR9A==" spinCount="100000" sheet="1" formatColumns="0" formatRows="0" autoFilter="0"/>
  <phoneticPr fontId="0" type="noConversion"/>
  <conditionalFormatting sqref="D44">
    <cfRule type="cellIs" dxfId="58" priority="34" stopIfTrue="1" operator="equal">
      <formula>"ERROR"</formula>
    </cfRule>
  </conditionalFormatting>
  <conditionalFormatting sqref="F44">
    <cfRule type="cellIs" dxfId="57" priority="33" stopIfTrue="1" operator="equal">
      <formula>"ERROR"</formula>
    </cfRule>
  </conditionalFormatting>
  <conditionalFormatting sqref="K7:L19 K22:L32 K35:L41">
    <cfRule type="containsText" dxfId="56" priority="32" operator="containsText" text="V">
      <formula>NOT(ISERROR(SEARCH("V",K7)))</formula>
    </cfRule>
  </conditionalFormatting>
  <conditionalFormatting sqref="K7:L19">
    <cfRule type="containsText" dxfId="55" priority="28" operator="containsText" text="100">
      <formula>NOT(ISERROR(SEARCH("100",K7)))</formula>
    </cfRule>
    <cfRule type="containsText" dxfId="54" priority="29" operator="containsText" text="no change">
      <formula>NOT(ISERROR(SEARCH("no change",K7)))</formula>
    </cfRule>
    <cfRule type="cellIs" dxfId="53" priority="30" operator="greaterThan">
      <formula>"Comment"</formula>
    </cfRule>
    <cfRule type="containsText" dxfId="52" priority="31" operator="containsText" text="0">
      <formula>NOT(ISERROR(SEARCH("0",K7)))</formula>
    </cfRule>
  </conditionalFormatting>
  <conditionalFormatting sqref="K22:L31 K35:L35 K38:L38 K40:L41">
    <cfRule type="containsText" dxfId="51" priority="19" operator="containsText" text="100">
      <formula>NOT(ISERROR(SEARCH("100",K22)))</formula>
    </cfRule>
    <cfRule type="containsText" dxfId="50" priority="20" operator="containsText" text="no change">
      <formula>NOT(ISERROR(SEARCH("no change",K22)))</formula>
    </cfRule>
    <cfRule type="containsText" dxfId="49" priority="21" operator="containsText" text="Comment">
      <formula>NOT(ISERROR(SEARCH("Comment",K22)))</formula>
    </cfRule>
    <cfRule type="containsText" dxfId="48" priority="22" operator="containsText" text="no change">
      <formula>NOT(ISERROR(SEARCH("no change",K22)))</formula>
    </cfRule>
    <cfRule type="containsText" dxfId="47" priority="23" operator="containsText" text="100">
      <formula>NOT(ISERROR(SEARCH("100",K22)))</formula>
    </cfRule>
    <cfRule type="containsText" dxfId="46" priority="24" operator="containsText" text="Comment">
      <formula>NOT(ISERROR(SEARCH("Comment",K22)))</formula>
    </cfRule>
  </conditionalFormatting>
  <conditionalFormatting sqref="K22:L31">
    <cfRule type="containsText" dxfId="45" priority="1" operator="containsText" text="100">
      <formula>NOT(ISERROR(SEARCH("100",K22)))</formula>
    </cfRule>
    <cfRule type="containsText" dxfId="44" priority="2" operator="containsText" text="no change">
      <formula>NOT(ISERROR(SEARCH("no change",K22)))</formula>
    </cfRule>
    <cfRule type="cellIs" dxfId="43" priority="3" operator="greaterThan">
      <formula>"Comment"</formula>
    </cfRule>
    <cfRule type="containsText" dxfId="42" priority="4" operator="containsText" text="0">
      <formula>NOT(ISERROR(SEARCH("0",K22)))</formula>
    </cfRule>
  </conditionalFormatting>
  <conditionalFormatting sqref="L18">
    <cfRule type="containsText" dxfId="41" priority="5" operator="containsText" text="100">
      <formula>NOT(ISERROR(SEARCH("100",L18)))</formula>
    </cfRule>
    <cfRule type="containsText" dxfId="40" priority="6" operator="containsText" text="no change">
      <formula>NOT(ISERROR(SEARCH("no change",L18)))</formula>
    </cfRule>
    <cfRule type="containsText" dxfId="39" priority="7" operator="containsText" text="Comment">
      <formula>NOT(ISERROR(SEARCH("Comment",L18)))</formula>
    </cfRule>
    <cfRule type="containsText" dxfId="38" priority="8" operator="containsText" text="no change">
      <formula>NOT(ISERROR(SEARCH("no change",L18)))</formula>
    </cfRule>
    <cfRule type="containsText" dxfId="37" priority="9" operator="containsText" text="100">
      <formula>NOT(ISERROR(SEARCH("100",L18)))</formula>
    </cfRule>
    <cfRule type="containsText" dxfId="36" priority="10" operator="containsText" text="Comment">
      <formula>NOT(ISERROR(SEARCH("Comment",L18)))</formula>
    </cfRule>
  </conditionalFormatting>
  <conditionalFormatting sqref="L23:L31">
    <cfRule type="containsText" dxfId="35" priority="15" operator="containsText" text="100">
      <formula>NOT(ISERROR(SEARCH("100",L23)))</formula>
    </cfRule>
    <cfRule type="containsText" dxfId="34" priority="16" operator="containsText" text="no change">
      <formula>NOT(ISERROR(SEARCH("no change",L23)))</formula>
    </cfRule>
    <cfRule type="cellIs" dxfId="33" priority="17" operator="greaterThan">
      <formula>"Comment"</formula>
    </cfRule>
    <cfRule type="containsText" dxfId="32" priority="18" operator="containsText" text="0">
      <formula>NOT(ISERROR(SEARCH("0",L23)))</formula>
    </cfRule>
  </conditionalFormatting>
  <dataValidations count="1">
    <dataValidation allowBlank="1" showInputMessage="1" showErrorMessage="1" prompt="Please provide net position breakdown." sqref="D35 D38 D40:D42" xr:uid="{02F30998-51E6-438D-AA1C-B59A168CBE88}"/>
  </dataValidations>
  <pageMargins left="0.75" right="0.75" top="0.5" bottom="0.5" header="0.5" footer="0.2"/>
  <pageSetup scale="53" orientation="landscape" r:id="rId1"/>
  <headerFooter alignWithMargins="0">
    <oddFooter>&amp;L&amp;F &amp;A&amp;C&amp;P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48"/>
  <sheetViews>
    <sheetView zoomScaleNormal="100" workbookViewId="0">
      <selection activeCell="F15" sqref="F15"/>
    </sheetView>
  </sheetViews>
  <sheetFormatPr defaultRowHeight="12.75" x14ac:dyDescent="0.2"/>
  <cols>
    <col min="1" max="1" width="3.7109375" customWidth="1"/>
    <col min="2" max="2" width="48.7109375" customWidth="1"/>
    <col min="3" max="3" width="1.7109375" customWidth="1"/>
    <col min="4" max="4" width="16.42578125" customWidth="1"/>
    <col min="5" max="5" width="1.7109375" customWidth="1"/>
    <col min="6" max="6" width="17.7109375" customWidth="1"/>
    <col min="7" max="7" width="3.42578125" customWidth="1"/>
    <col min="8" max="8" width="15.140625" customWidth="1"/>
    <col min="9" max="9" width="3.5703125" customWidth="1"/>
    <col min="10" max="10" width="11.28515625" customWidth="1"/>
    <col min="11" max="11" width="36.42578125" style="27" customWidth="1"/>
    <col min="12" max="12" width="37" style="141" customWidth="1"/>
    <col min="13" max="13" width="16.28515625" style="226" customWidth="1"/>
  </cols>
  <sheetData>
    <row r="1" spans="1:13" s="13" customFormat="1" ht="12.75" customHeight="1" x14ac:dyDescent="0.2">
      <c r="A1" s="1" t="str">
        <f>CONCATENATE(Info!D7," Foundations")</f>
        <v>UNC System Office Foundations</v>
      </c>
      <c r="B1" s="151"/>
      <c r="C1" s="151"/>
      <c r="D1" s="31"/>
      <c r="E1" s="151"/>
      <c r="F1" s="151"/>
      <c r="G1" s="151"/>
      <c r="H1" s="151"/>
      <c r="I1" s="151"/>
      <c r="J1" s="31" t="s">
        <v>308</v>
      </c>
      <c r="K1" s="547" t="e">
        <f>VLOOKUP($F$3,Notes!$C$106:$D$116,2,FALSE)</f>
        <v>#N/A</v>
      </c>
      <c r="L1" s="141"/>
      <c r="M1" s="226"/>
    </row>
    <row r="2" spans="1:13" s="13" customFormat="1" ht="12.75" customHeight="1" x14ac:dyDescent="0.25">
      <c r="A2" s="1" t="s">
        <v>309</v>
      </c>
      <c r="B2" s="151"/>
      <c r="C2" s="151"/>
      <c r="D2" s="151"/>
      <c r="E2" s="151"/>
      <c r="F2" s="151"/>
      <c r="G2" s="151"/>
      <c r="H2" s="151"/>
      <c r="I2" s="151"/>
      <c r="J2" s="151"/>
      <c r="K2" s="451"/>
      <c r="L2" s="155"/>
      <c r="M2" s="226"/>
    </row>
    <row r="3" spans="1:13" s="13" customFormat="1" ht="12.75" customHeight="1" x14ac:dyDescent="0.2">
      <c r="A3" s="102" t="s">
        <v>253</v>
      </c>
      <c r="B3" s="151"/>
      <c r="C3" s="151"/>
      <c r="D3" s="151"/>
      <c r="E3" s="151"/>
      <c r="F3" s="27" t="str">
        <f>CONCATENATE(Info!D6,"F")</f>
        <v>U10F</v>
      </c>
      <c r="G3"/>
      <c r="H3"/>
      <c r="I3"/>
      <c r="J3"/>
      <c r="K3" s="451"/>
      <c r="L3" s="141"/>
      <c r="M3" s="226"/>
    </row>
    <row r="4" spans="1:13" x14ac:dyDescent="0.2">
      <c r="A4" s="150" t="s">
        <v>123</v>
      </c>
      <c r="K4" s="445" t="s">
        <v>254</v>
      </c>
      <c r="L4" s="445" t="s">
        <v>254</v>
      </c>
    </row>
    <row r="5" spans="1:13" ht="12.75" customHeight="1" x14ac:dyDescent="0.2">
      <c r="D5" s="244" t="s">
        <v>255</v>
      </c>
      <c r="F5" s="4" t="s">
        <v>256</v>
      </c>
      <c r="H5" s="4" t="s">
        <v>257</v>
      </c>
      <c r="J5" s="4" t="s">
        <v>258</v>
      </c>
      <c r="K5" s="548" t="e">
        <f>"Significant variance above "&amp;TEXT(K1,"$0,000")</f>
        <v>#N/A</v>
      </c>
      <c r="L5" s="446" t="s">
        <v>259</v>
      </c>
    </row>
    <row r="6" spans="1:13" ht="13.5" x14ac:dyDescent="0.25">
      <c r="B6" s="1" t="s">
        <v>310</v>
      </c>
      <c r="L6" s="155"/>
    </row>
    <row r="7" spans="1:13" ht="13.5" x14ac:dyDescent="0.25">
      <c r="A7" s="33">
        <v>505</v>
      </c>
      <c r="B7" s="151" t="s">
        <v>311</v>
      </c>
      <c r="D7" s="28">
        <f ca="1">SUMIF(FASB_IS,A7,'Exh B'!$N$9:$N$23)+SUMIF(FASB_ADJ,A7,Adjustments!$N$7:$N$85)</f>
        <v>0</v>
      </c>
      <c r="F7" s="28">
        <f>HLOOKUP($F$3,PriorYrExhE!$E$2:$V$22,6,FALSE)</f>
        <v>0</v>
      </c>
      <c r="H7" s="104">
        <f ca="1">D7-F7</f>
        <v>0</v>
      </c>
      <c r="J7" s="103">
        <f t="shared" ref="J7:J13" ca="1" si="0">IF(F7=0,IF(D7=0,0,100%),H7/F7)</f>
        <v>0</v>
      </c>
      <c r="K7" s="549" t="str">
        <f ca="1">IF(D7=0," ",IF(AND(ABS(H7)&gt;$K$1,ABS(J7)&gt;0.15),"Explain variance at 'Comment' tab",IF(AND(ABS(D7+F7)&gt;0,F7=0,ABS(H7)&gt;$K$1),"Explain variance at 'Comment' tab"," ")))</f>
        <v xml:space="preserve"> </v>
      </c>
      <c r="L7" s="550" t="b">
        <f ca="1">IF($D$16&gt;0,IF(AND(D7&lt;&gt;0,H7=0,J7=0%),"Review reasonableness - no change",IF(AND(D7&gt;=0,J7&gt;=100%,H7&lt;&gt;0),"Review reasonableness 100% change or higher",IF(J7=-100%,"Review reasonabless -100% change",""))))</f>
        <v>0</v>
      </c>
      <c r="M7" s="226" t="s">
        <v>312</v>
      </c>
    </row>
    <row r="8" spans="1:13" ht="13.5" x14ac:dyDescent="0.25">
      <c r="A8" s="33">
        <v>500</v>
      </c>
      <c r="B8" s="26" t="s">
        <v>172</v>
      </c>
      <c r="D8" s="12">
        <f ca="1">SUMIF(FASB_IS,A8,'Exh B'!$N$9:$N$23)+SUMIF(FASB_ADJ,A8,Adjustments!$N$7:$N$85)</f>
        <v>0</v>
      </c>
      <c r="F8" s="12">
        <f>HLOOKUP($F$3,PriorYrExhE!$E$2:$V$22,7,FALSE)</f>
        <v>0</v>
      </c>
      <c r="H8" s="104">
        <f t="shared" ref="H8:H15" ca="1" si="1">D8-F8</f>
        <v>0</v>
      </c>
      <c r="J8" s="103">
        <f t="shared" ca="1" si="0"/>
        <v>0</v>
      </c>
      <c r="K8" s="549" t="str">
        <f t="shared" ref="K8:K15" ca="1" si="2">IF(D8=0," ",IF(AND(ABS(H8)&gt;$K$1,ABS(J8)&gt;0.15),"Explain variance at 'Comment' tab",IF(AND(ABS(D8+F8)&gt;0,F8=0,ABS(H8)&gt;$K$1),"Explain variance at 'Comment' tab"," ")))</f>
        <v xml:space="preserve"> </v>
      </c>
      <c r="L8" s="550" t="b">
        <f t="shared" ref="L8:L10" ca="1" si="3">IF($D$16&gt;0,IF(AND(D8&lt;&gt;0,H8=0,J8=0%),"Review reasonableness - no change",IF(AND(D8&gt;=0,J8&gt;=100%,H8&lt;&gt;0),"Review reasonableness 100% change or higher",IF(J8&lt;=-100%,"Review reasonabless -100% change",""))))</f>
        <v>0</v>
      </c>
      <c r="M8" s="226">
        <v>46200000</v>
      </c>
    </row>
    <row r="9" spans="1:13" ht="13.5" x14ac:dyDescent="0.25">
      <c r="A9" s="33">
        <v>510</v>
      </c>
      <c r="B9" s="26" t="s">
        <v>173</v>
      </c>
      <c r="D9" s="12">
        <f ca="1">SUMIF(FASB_IS,A9,'Exh B'!$N$9:$N$23)+SUMIF(FASB_ADJ,A9,Adjustments!$N$7:$N$85)</f>
        <v>0</v>
      </c>
      <c r="F9" s="12">
        <f>HLOOKUP($F$3,PriorYrExhE!$E$2:$V$22,8,FALSE)</f>
        <v>0</v>
      </c>
      <c r="H9" s="104">
        <f t="shared" ca="1" si="1"/>
        <v>0</v>
      </c>
      <c r="J9" s="103">
        <f t="shared" ca="1" si="0"/>
        <v>0</v>
      </c>
      <c r="K9" s="549" t="str">
        <f t="shared" ca="1" si="2"/>
        <v xml:space="preserve"> </v>
      </c>
      <c r="L9" s="550" t="b">
        <f t="shared" ca="1" si="3"/>
        <v>0</v>
      </c>
      <c r="M9" s="226">
        <v>46203000</v>
      </c>
    </row>
    <row r="10" spans="1:13" ht="13.5" x14ac:dyDescent="0.25">
      <c r="A10" s="33">
        <v>520</v>
      </c>
      <c r="B10" s="26" t="s">
        <v>174</v>
      </c>
      <c r="D10" s="12">
        <f ca="1">SUMIF(FASB_IS,A10,'Exh B'!$N$9:$N$23)+SUMIF(FASB_ADJ,A10,Adjustments!$N$7:$N$85)</f>
        <v>0</v>
      </c>
      <c r="F10" s="12">
        <f>HLOOKUP($F$3,PriorYrExhE!$E$2:$V$22,9,FALSE)</f>
        <v>0</v>
      </c>
      <c r="H10" s="104">
        <f t="shared" ca="1" si="1"/>
        <v>0</v>
      </c>
      <c r="J10" s="103">
        <f t="shared" ca="1" si="0"/>
        <v>0</v>
      </c>
      <c r="K10" s="549" t="str">
        <f t="shared" ca="1" si="2"/>
        <v xml:space="preserve"> </v>
      </c>
      <c r="L10" s="550" t="b">
        <f t="shared" ca="1" si="3"/>
        <v>0</v>
      </c>
      <c r="M10" s="226">
        <v>46205000</v>
      </c>
    </row>
    <row r="11" spans="1:13" ht="13.5" x14ac:dyDescent="0.25">
      <c r="A11" s="33">
        <v>530</v>
      </c>
      <c r="B11" s="26" t="s">
        <v>129</v>
      </c>
      <c r="D11" s="12">
        <f ca="1">SUMIF(FASB_IS,A11,'Exh B'!$N$9:$N$23)+SUMIF(FASB_ADJ,A11,Adjustments!$N$7:$N$85)</f>
        <v>0</v>
      </c>
      <c r="F11" s="12">
        <f>HLOOKUP($F$3,PriorYrExhE!$E$2:$V$22,10,FALSE)</f>
        <v>0</v>
      </c>
      <c r="H11" s="104">
        <f t="shared" ca="1" si="1"/>
        <v>0</v>
      </c>
      <c r="J11" s="103">
        <f t="shared" ca="1" si="0"/>
        <v>0</v>
      </c>
      <c r="K11" s="549" t="str">
        <f t="shared" ca="1" si="2"/>
        <v xml:space="preserve"> </v>
      </c>
      <c r="L11" s="550" t="b">
        <f t="shared" ref="L11:L14" ca="1" si="4">IF($D$16&gt;0,IF(AND(D11&lt;&gt;0,H11=0,J11=0%),"Review reasonableness - no change",IF(AND(D11&gt;=0,J11&gt;=100%,H11&lt;&gt;0),"Review reasonableness 100% change or higher",IF(J11&lt;=-100%,"Review reasonabless -100% change",""))))</f>
        <v>0</v>
      </c>
      <c r="M11" s="226">
        <v>43111000</v>
      </c>
    </row>
    <row r="12" spans="1:13" ht="13.5" x14ac:dyDescent="0.25">
      <c r="A12" s="33">
        <v>540</v>
      </c>
      <c r="B12" s="26" t="s">
        <v>131</v>
      </c>
      <c r="D12" s="12">
        <f ca="1">SUMIF(FASB_IS,A12,'Exh B'!$N$9:$N$23)+SUMIF(FASB_ADJ,A12,Adjustments!$N$7:$N$85)</f>
        <v>0</v>
      </c>
      <c r="F12" s="12">
        <f>HLOOKUP($F$3,PriorYrExhE!$E$2:$V$22,11,FALSE)</f>
        <v>0</v>
      </c>
      <c r="H12" s="104">
        <f t="shared" ca="1" si="1"/>
        <v>0</v>
      </c>
      <c r="J12" s="103">
        <f t="shared" ca="1" si="0"/>
        <v>0</v>
      </c>
      <c r="K12" s="549" t="str">
        <f t="shared" ca="1" si="2"/>
        <v xml:space="preserve"> </v>
      </c>
      <c r="L12" s="550" t="b">
        <f t="shared" ca="1" si="4"/>
        <v>0</v>
      </c>
      <c r="M12" s="226">
        <v>44101000</v>
      </c>
    </row>
    <row r="13" spans="1:13" ht="13.5" x14ac:dyDescent="0.25">
      <c r="A13" s="33">
        <v>550</v>
      </c>
      <c r="B13" s="26" t="s">
        <v>313</v>
      </c>
      <c r="D13" s="12">
        <f ca="1">SUMIF(FASB_IS,A13,'Exh B'!$N$9:$N$23)+SUMIF(FASB_ADJ,A13,Adjustments!$N$7:$N$85)</f>
        <v>0</v>
      </c>
      <c r="F13" s="12">
        <f>HLOOKUP($F$3,PriorYrExhE!$E$2:$V$22,12,FALSE)</f>
        <v>0</v>
      </c>
      <c r="H13" s="104">
        <f t="shared" ca="1" si="1"/>
        <v>0</v>
      </c>
      <c r="J13" s="103">
        <f t="shared" ca="1" si="0"/>
        <v>0</v>
      </c>
      <c r="K13" s="549" t="str">
        <f t="shared" ca="1" si="2"/>
        <v xml:space="preserve"> </v>
      </c>
      <c r="L13" s="550" t="b">
        <f t="shared" ca="1" si="4"/>
        <v>0</v>
      </c>
      <c r="M13" s="226">
        <v>44410000</v>
      </c>
    </row>
    <row r="14" spans="1:13" ht="13.5" x14ac:dyDescent="0.25">
      <c r="A14" s="33">
        <v>555</v>
      </c>
      <c r="B14" s="26" t="s">
        <v>133</v>
      </c>
      <c r="D14" s="12">
        <f ca="1">SUMIF(FASB_IS,A14,'Exh B'!$N$9:$N$23)+SUMIF(FASB_ADJ,A14,Adjustments!$N$7:$N$85)</f>
        <v>0</v>
      </c>
      <c r="F14" s="12">
        <f>HLOOKUP($F$3,PriorYrExhE!$E$2:$V$22,13,FALSE)</f>
        <v>0</v>
      </c>
      <c r="H14" s="104">
        <f t="shared" ca="1" si="1"/>
        <v>0</v>
      </c>
      <c r="J14" s="103">
        <f ca="1">IF(F14=0,IF(D14=0,0,100%),H14/F14)</f>
        <v>0</v>
      </c>
      <c r="K14" s="549" t="str">
        <f t="shared" ca="1" si="2"/>
        <v xml:space="preserve"> </v>
      </c>
      <c r="L14" s="550" t="b">
        <f t="shared" ca="1" si="4"/>
        <v>0</v>
      </c>
      <c r="M14" s="226">
        <v>44330000</v>
      </c>
    </row>
    <row r="15" spans="1:13" ht="13.5" x14ac:dyDescent="0.25">
      <c r="A15" s="33">
        <v>560</v>
      </c>
      <c r="B15" s="26" t="s">
        <v>314</v>
      </c>
      <c r="D15" s="12">
        <f ca="1">SUMIF(FASB_IS,A15,'Exh B'!$N$9:$N$23)+SUMIF(FASB_ADJ,A15,Adjustments!$N$7:$N$85)</f>
        <v>0</v>
      </c>
      <c r="F15" s="12">
        <f>HLOOKUP($F$3,PriorYrExhE!$E$2:$V$22,14,FALSE)</f>
        <v>0</v>
      </c>
      <c r="H15" s="104">
        <f t="shared" ca="1" si="1"/>
        <v>0</v>
      </c>
      <c r="J15" s="103">
        <f ca="1">IF(F15=0,IF(D15=0,0,100%),H15/F15)</f>
        <v>0</v>
      </c>
      <c r="K15" s="549" t="str">
        <f t="shared" ca="1" si="2"/>
        <v xml:space="preserve"> </v>
      </c>
      <c r="L15" s="550" t="b">
        <f ca="1">IF($D$16&gt;0,IF(AND(D15&lt;&gt;0,H15=0,J15=0%),"Review reasonableness - no change",IF(AND(D15&gt;=0,J15&gt;=100%,H15&lt;&gt;0),"Review reasonableness 100% change or higher",IF(J15&lt;=-100%,"Review reasonabless -100% change",""))))</f>
        <v>0</v>
      </c>
      <c r="M15" s="226">
        <v>47991000</v>
      </c>
    </row>
    <row r="16" spans="1:13" ht="13.5" x14ac:dyDescent="0.25">
      <c r="A16" s="33"/>
      <c r="B16" s="2" t="s">
        <v>135</v>
      </c>
      <c r="D16" s="21">
        <f ca="1">SUM(D7:D15)</f>
        <v>0</v>
      </c>
      <c r="F16" s="21">
        <f>SUM(F7:F15)</f>
        <v>0</v>
      </c>
      <c r="L16" s="155" t="str">
        <f t="shared" ref="L16:L17" ca="1" si="5">IF(D16=0,"",IF(J16=100%,"Review reasonableness 100% change",IF(J16=-100%,"Review reasonabless -100% change","")))</f>
        <v/>
      </c>
    </row>
    <row r="17" spans="1:13" ht="13.5" x14ac:dyDescent="0.25">
      <c r="A17" s="33"/>
      <c r="L17" s="155" t="str">
        <f t="shared" si="5"/>
        <v/>
      </c>
    </row>
    <row r="18" spans="1:13" ht="13.5" x14ac:dyDescent="0.25">
      <c r="A18" s="33"/>
      <c r="B18" s="1" t="s">
        <v>315</v>
      </c>
      <c r="L18" s="155"/>
    </row>
    <row r="19" spans="1:13" ht="15" x14ac:dyDescent="0.25">
      <c r="A19" s="33">
        <v>604</v>
      </c>
      <c r="B19" s="151" t="s">
        <v>316</v>
      </c>
      <c r="D19" s="12">
        <f ca="1">SUMIF(FASB_IS,A19,'Exh B'!$N$9:$N$23)+SUMIF(FASB_ADJ,A19,Adjustments!$N$7:$N$85)</f>
        <v>0</v>
      </c>
      <c r="F19" s="12">
        <f>HLOOKUP($F$3,PriorYrExhE!$E$2:$V$22,18,FALSE)</f>
        <v>0</v>
      </c>
      <c r="H19" s="104">
        <f ca="1">D19-F19</f>
        <v>0</v>
      </c>
      <c r="J19" s="103">
        <f t="shared" ref="J19:J22" ca="1" si="6">IF(F19=0,IF(D19=0,0,100%),H19/F19)</f>
        <v>0</v>
      </c>
      <c r="K19" s="549" t="str">
        <f t="shared" ref="K19:K22" ca="1" si="7">IF(D19=0," ",IF(AND(ABS(H19)&gt;$K$1,ABS(J19)&gt;0.15),"Explain variance at 'Comment' tab",IF(AND(ABS(D19+F19)&gt;0,F19=0,ABS(H19)&gt;$K$1),"Explain variance at 'Comment' tab"," ")))</f>
        <v xml:space="preserve"> </v>
      </c>
      <c r="L19" s="550" t="b">
        <f t="shared" ref="L19:L22" ca="1" si="8">IF($D$16&gt;0,IF(AND(D19&lt;&gt;0,H19=0,J19=0%),"Review reasonableness - no change",IF(AND(D19&gt;=0,J19&gt;=100%,H19&lt;&gt;0),"Review reasonableness 100% change or higher",IF(J19&lt;=-100%,"Review reasonabless -100% change",""))))</f>
        <v>0</v>
      </c>
      <c r="M19" s="226" t="s">
        <v>317</v>
      </c>
    </row>
    <row r="20" spans="1:13" ht="15" x14ac:dyDescent="0.25">
      <c r="A20" s="33">
        <v>600</v>
      </c>
      <c r="B20" s="151" t="s">
        <v>318</v>
      </c>
      <c r="D20" s="12">
        <f ca="1">SUMIF(FASB_IS,A20,'Exh B'!$N$9:$N$23)+SUMIF(FASB_ADJ,A20,Adjustments!$N$7:$N$85)</f>
        <v>0</v>
      </c>
      <c r="F20" s="12">
        <f>HLOOKUP($F$3,PriorYrExhE!$E$2:$V$22,19,FALSE)</f>
        <v>0</v>
      </c>
      <c r="H20" s="104">
        <f ca="1">D20-F20</f>
        <v>0</v>
      </c>
      <c r="J20" s="103">
        <f t="shared" ca="1" si="6"/>
        <v>0</v>
      </c>
      <c r="K20" s="549" t="str">
        <f t="shared" ca="1" si="7"/>
        <v xml:space="preserve"> </v>
      </c>
      <c r="L20" s="550" t="b">
        <f t="shared" ca="1" si="8"/>
        <v>0</v>
      </c>
      <c r="M20" s="226" t="s">
        <v>319</v>
      </c>
    </row>
    <row r="21" spans="1:13" ht="15" x14ac:dyDescent="0.25">
      <c r="A21" s="33">
        <v>602</v>
      </c>
      <c r="B21" s="151" t="s">
        <v>320</v>
      </c>
      <c r="D21" s="12">
        <f ca="1">SUMIF(FASB_IS,A21,'Exh B'!$N$9:$N$23)+SUMIF(FASB_ADJ,A21,Adjustments!$N$7:$N$85)</f>
        <v>0</v>
      </c>
      <c r="F21" s="12">
        <f>HLOOKUP($F$3,PriorYrExhE!$E$2:$V$22,20,FALSE)</f>
        <v>0</v>
      </c>
      <c r="H21" s="104">
        <f ca="1">D21-F21</f>
        <v>0</v>
      </c>
      <c r="J21" s="103">
        <f t="shared" ca="1" si="6"/>
        <v>0</v>
      </c>
      <c r="K21" s="549" t="str">
        <f t="shared" ca="1" si="7"/>
        <v xml:space="preserve"> </v>
      </c>
      <c r="L21" s="550" t="b">
        <f t="shared" ca="1" si="8"/>
        <v>0</v>
      </c>
      <c r="M21" s="226" t="s">
        <v>321</v>
      </c>
    </row>
    <row r="22" spans="1:13" ht="13.5" x14ac:dyDescent="0.25">
      <c r="A22" s="33">
        <v>610</v>
      </c>
      <c r="B22" s="151" t="s">
        <v>322</v>
      </c>
      <c r="D22" s="10">
        <f ca="1">SUMIF(FASB_IS,A22,'Exh B'!$N$9:$N$23)+SUMIF(FASB_ADJ,A22,Adjustments!$N$7:$N$85)</f>
        <v>0</v>
      </c>
      <c r="F22" s="12">
        <f>HLOOKUP($F$3,PriorYrExhE!$E$2:$V$22,21,FALSE)</f>
        <v>0</v>
      </c>
      <c r="H22" s="104">
        <f ca="1">D22-F22</f>
        <v>0</v>
      </c>
      <c r="J22" s="103">
        <f t="shared" ca="1" si="6"/>
        <v>0</v>
      </c>
      <c r="K22" s="549" t="str">
        <f t="shared" ca="1" si="7"/>
        <v xml:space="preserve"> </v>
      </c>
      <c r="L22" s="550" t="b">
        <f t="shared" ca="1" si="8"/>
        <v>0</v>
      </c>
      <c r="M22" s="226">
        <v>55900000</v>
      </c>
    </row>
    <row r="23" spans="1:13" x14ac:dyDescent="0.2">
      <c r="A23" s="33"/>
      <c r="B23" s="2" t="s">
        <v>139</v>
      </c>
      <c r="D23" s="21">
        <f ca="1">SUM(D19:D22)</f>
        <v>0</v>
      </c>
      <c r="F23" s="21">
        <f>SUM(F19:F22)</f>
        <v>0</v>
      </c>
    </row>
    <row r="25" spans="1:13" ht="13.5" x14ac:dyDescent="0.25">
      <c r="B25" s="231" t="s">
        <v>323</v>
      </c>
      <c r="D25" s="12">
        <f ca="1">D16-D23</f>
        <v>0</v>
      </c>
      <c r="F25" s="12">
        <f>F16-F23</f>
        <v>0</v>
      </c>
      <c r="H25" s="104">
        <f ca="1">D25-F25</f>
        <v>0</v>
      </c>
      <c r="J25" s="103">
        <f t="shared" ref="J25:J28" ca="1" si="9">IF(F25=0,IF(D25=0,0,100%),H25/F25)</f>
        <v>0</v>
      </c>
    </row>
    <row r="26" spans="1:13" x14ac:dyDescent="0.2">
      <c r="B26" s="26"/>
      <c r="D26" s="12"/>
    </row>
    <row r="27" spans="1:13" ht="13.5" x14ac:dyDescent="0.25">
      <c r="B27" s="151" t="s">
        <v>324</v>
      </c>
      <c r="D27" s="12">
        <f>'Exh B'!N28</f>
        <v>0</v>
      </c>
      <c r="F27" s="12">
        <f>HLOOKUP($F$3,PriorYrExhE!$E$2:$V$28,26,FALSE)</f>
        <v>0</v>
      </c>
      <c r="H27" s="104">
        <f>D27-F27</f>
        <v>0</v>
      </c>
      <c r="J27" s="103">
        <f t="shared" si="9"/>
        <v>0</v>
      </c>
    </row>
    <row r="28" spans="1:13" ht="13.5" x14ac:dyDescent="0.25">
      <c r="B28" t="s">
        <v>325</v>
      </c>
      <c r="D28" s="10">
        <f>'Exh B'!N29</f>
        <v>0</v>
      </c>
      <c r="F28" s="12">
        <f>HLOOKUP($F$3,PriorYrExhE!$E$2:$V$28,27,FALSE)</f>
        <v>0</v>
      </c>
      <c r="H28" s="104">
        <f>D28-F28</f>
        <v>0</v>
      </c>
      <c r="J28" s="103">
        <f t="shared" si="9"/>
        <v>0</v>
      </c>
      <c r="M28" s="226">
        <v>33000100</v>
      </c>
    </row>
    <row r="29" spans="1:13" ht="13.5" thickBot="1" x14ac:dyDescent="0.25">
      <c r="B29" s="151" t="s">
        <v>326</v>
      </c>
      <c r="D29" s="11">
        <f ca="1">D25+D27+D28</f>
        <v>0</v>
      </c>
      <c r="F29" s="11">
        <f>F25+F27+F28</f>
        <v>0</v>
      </c>
    </row>
    <row r="30" spans="1:13" ht="13.5" thickTop="1" x14ac:dyDescent="0.2"/>
    <row r="31" spans="1:13" x14ac:dyDescent="0.2">
      <c r="B31" s="23" t="s">
        <v>327</v>
      </c>
      <c r="D31" s="35" t="str">
        <f ca="1">IF(D29='Exh D'!D42,"OK","ERROR")</f>
        <v>OK</v>
      </c>
      <c r="F31" s="35" t="str">
        <f>IF(F29='Exh D'!F42,"OK","ERROR")</f>
        <v>OK</v>
      </c>
    </row>
    <row r="32" spans="1:13" ht="11.25" customHeight="1" x14ac:dyDescent="0.2">
      <c r="B32" s="23"/>
    </row>
    <row r="33" spans="1:6" x14ac:dyDescent="0.2">
      <c r="A33" s="25" t="s">
        <v>98</v>
      </c>
    </row>
    <row r="34" spans="1:6" ht="5.25" customHeight="1" x14ac:dyDescent="0.2"/>
    <row r="35" spans="1:6" x14ac:dyDescent="0.2">
      <c r="A35" s="47" t="s">
        <v>99</v>
      </c>
      <c r="B35" t="s">
        <v>328</v>
      </c>
    </row>
    <row r="36" spans="1:6" x14ac:dyDescent="0.2">
      <c r="B36" t="s">
        <v>297</v>
      </c>
    </row>
    <row r="37" spans="1:6" ht="6" customHeight="1" x14ac:dyDescent="0.2"/>
    <row r="38" spans="1:6" x14ac:dyDescent="0.2">
      <c r="A38" s="150" t="s">
        <v>102</v>
      </c>
      <c r="B38" s="151" t="s">
        <v>298</v>
      </c>
    </row>
    <row r="39" spans="1:6" x14ac:dyDescent="0.2">
      <c r="B39" s="151" t="s">
        <v>299</v>
      </c>
    </row>
    <row r="40" spans="1:6" x14ac:dyDescent="0.2">
      <c r="B40" s="151" t="s">
        <v>300</v>
      </c>
    </row>
    <row r="41" spans="1:6" x14ac:dyDescent="0.2">
      <c r="B41" s="151" t="s">
        <v>301</v>
      </c>
    </row>
    <row r="42" spans="1:6" ht="6.75" customHeight="1" x14ac:dyDescent="0.2"/>
    <row r="43" spans="1:6" x14ac:dyDescent="0.2">
      <c r="B43" s="138" t="s">
        <v>329</v>
      </c>
    </row>
    <row r="44" spans="1:6" x14ac:dyDescent="0.2">
      <c r="B44" s="138" t="s">
        <v>330</v>
      </c>
    </row>
    <row r="45" spans="1:6" x14ac:dyDescent="0.2">
      <c r="B45" s="23"/>
      <c r="C45" s="23"/>
      <c r="D45" s="23"/>
      <c r="E45" s="23"/>
      <c r="F45" s="23"/>
    </row>
    <row r="46" spans="1:6" x14ac:dyDescent="0.2">
      <c r="B46" s="23"/>
      <c r="C46" s="23"/>
      <c r="D46" s="23"/>
      <c r="E46" s="23"/>
      <c r="F46" s="23"/>
    </row>
    <row r="47" spans="1:6" x14ac:dyDescent="0.2">
      <c r="B47" s="23"/>
      <c r="C47" s="23"/>
      <c r="D47" s="23"/>
      <c r="E47" s="23"/>
      <c r="F47" s="23"/>
    </row>
    <row r="48" spans="1:6" x14ac:dyDescent="0.2">
      <c r="B48" s="23"/>
    </row>
  </sheetData>
  <sheetProtection algorithmName="SHA-512" hashValue="lnRAsjUoJeadx2c6tzmW6HBnZCQwgyfxfCwx1qyLOgWKIP0xG+FiFzxvBKJLTuJRSu2jZ5bTIld6eYA6ZdLltQ==" saltValue="uCwxXGcgP9LEQh6VzoYwQQ==" spinCount="100000" sheet="1" formatColumns="0" formatRows="0" autoFilter="0"/>
  <phoneticPr fontId="0" type="noConversion"/>
  <conditionalFormatting sqref="D31">
    <cfRule type="cellIs" dxfId="31" priority="14" stopIfTrue="1" operator="equal">
      <formula>"ERROR"</formula>
    </cfRule>
  </conditionalFormatting>
  <conditionalFormatting sqref="F31">
    <cfRule type="cellIs" dxfId="30" priority="13" stopIfTrue="1" operator="equal">
      <formula>"ERROR"</formula>
    </cfRule>
  </conditionalFormatting>
  <conditionalFormatting sqref="K7:K15 K19:K23">
    <cfRule type="containsText" dxfId="29" priority="12" operator="containsText" text="V">
      <formula>NOT(ISERROR(SEARCH("V",K7)))</formula>
    </cfRule>
  </conditionalFormatting>
  <conditionalFormatting sqref="L7:L22">
    <cfRule type="containsText" dxfId="28" priority="8" operator="containsText" text="no change">
      <formula>NOT(ISERROR(SEARCH("no change",L7)))</formula>
    </cfRule>
    <cfRule type="cellIs" dxfId="27" priority="9" operator="greaterThan">
      <formula>"Comment"</formula>
    </cfRule>
    <cfRule type="containsText" dxfId="26" priority="10" operator="containsText" text="0">
      <formula>NOT(ISERROR(SEARCH("0",L7)))</formula>
    </cfRule>
  </conditionalFormatting>
  <conditionalFormatting sqref="L7:L31 L35 L38 L40:L41">
    <cfRule type="containsText" dxfId="25" priority="5" operator="containsText" text="100">
      <formula>NOT(ISERROR(SEARCH("100",L7)))</formula>
    </cfRule>
  </conditionalFormatting>
  <conditionalFormatting sqref="L7:L32 L35:L41">
    <cfRule type="containsText" dxfId="24" priority="11" operator="containsText" text="V">
      <formula>NOT(ISERROR(SEARCH("V",L7)))</formula>
    </cfRule>
  </conditionalFormatting>
  <conditionalFormatting sqref="L23:L31 L35 L38 L40:L41">
    <cfRule type="containsText" dxfId="23" priority="1" operator="containsText" text="100">
      <formula>NOT(ISERROR(SEARCH("100",L23)))</formula>
    </cfRule>
    <cfRule type="containsText" dxfId="22" priority="2" operator="containsText" text="no change">
      <formula>NOT(ISERROR(SEARCH("no change",L23)))</formula>
    </cfRule>
    <cfRule type="containsText" dxfId="21" priority="3" operator="containsText" text="Comment">
      <formula>NOT(ISERROR(SEARCH("Comment",L23)))</formula>
    </cfRule>
    <cfRule type="containsText" dxfId="20" priority="4" operator="containsText" text="no change">
      <formula>NOT(ISERROR(SEARCH("no change",L23)))</formula>
    </cfRule>
    <cfRule type="containsText" dxfId="19" priority="6" operator="containsText" text="Comment">
      <formula>NOT(ISERROR(SEARCH("Comment",L23)))</formula>
    </cfRule>
  </conditionalFormatting>
  <pageMargins left="0.5" right="0.5" top="0.25" bottom="0.25" header="0.5" footer="0.2"/>
  <pageSetup scale="65" orientation="landscape" r:id="rId1"/>
  <headerFooter alignWithMargins="0">
    <oddFooter>&amp;L&amp;F &amp;A&amp;C&amp;P of &amp;N&amp;R&amp;D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AD092CE268B4A9CFCAE20B18605CD" ma:contentTypeVersion="13" ma:contentTypeDescription="Create a new document." ma:contentTypeScope="" ma:versionID="816be3f1d84d830574610c903672ebdf">
  <xsd:schema xmlns:xsd="http://www.w3.org/2001/XMLSchema" xmlns:xs="http://www.w3.org/2001/XMLSchema" xmlns:p="http://schemas.microsoft.com/office/2006/metadata/properties" xmlns:ns2="3ec2570d-002d-43d9-b4d8-cd927734fd5c" xmlns:ns3="f1a921d8-526c-43e3-8a93-f9bf9ad79650" targetNamespace="http://schemas.microsoft.com/office/2006/metadata/properties" ma:root="true" ma:fieldsID="9dcbd1f1d7f7020188508df2d0d28f0b" ns2:_="" ns3:_="">
    <xsd:import namespace="3ec2570d-002d-43d9-b4d8-cd927734fd5c"/>
    <xsd:import namespace="f1a921d8-526c-43e3-8a93-f9bf9ad796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c2570d-002d-43d9-b4d8-cd927734fd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a921d8-526c-43e3-8a93-f9bf9ad796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7866d6-2ba6-4cf9-bf73-e51f30d4693c}" ma:internalName="TaxCatchAll" ma:showField="CatchAllData" ma:web="f1a921d8-526c-43e3-8a93-f9bf9ad796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a921d8-526c-43e3-8a93-f9bf9ad79650" xsi:nil="true"/>
    <lcf76f155ced4ddcb4097134ff3c332f xmlns="3ec2570d-002d-43d9-b4d8-cd927734fd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B983E9-DC4F-496C-B5A9-8E68BCD99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c2570d-002d-43d9-b4d8-cd927734fd5c"/>
    <ds:schemaRef ds:uri="f1a921d8-526c-43e3-8a93-f9bf9ad7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075D97-D3B3-4DAB-BD5A-BAD3767C794A}">
  <ds:schemaRefs>
    <ds:schemaRef ds:uri="http://schemas.microsoft.com/sharepoint/v3/contenttype/forms"/>
  </ds:schemaRefs>
</ds:datastoreItem>
</file>

<file path=customXml/itemProps3.xml><?xml version="1.0" encoding="utf-8"?>
<ds:datastoreItem xmlns:ds="http://schemas.openxmlformats.org/officeDocument/2006/customXml" ds:itemID="{0F866262-F2C8-4C9D-94CA-B39FEFC5DC6B}">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68085a6d-e278-4216-b84f-15e1ffeaa6bf"/>
    <ds:schemaRef ds:uri="http://purl.org/dc/dcmitype/"/>
    <ds:schemaRef ds:uri="http://purl.org/dc/elements/1.1/"/>
    <ds:schemaRef ds:uri="http://schemas.microsoft.com/office/2006/metadata/properties"/>
    <ds:schemaRef ds:uri="http://www.w3.org/XML/1998/namespace"/>
    <ds:schemaRef ds:uri="f1a921d8-526c-43e3-8a93-f9bf9ad79650"/>
    <ds:schemaRef ds:uri="3ec2570d-002d-43d9-b4d8-cd927734fd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24</vt:i4>
      </vt:variant>
    </vt:vector>
  </HeadingPairs>
  <TitlesOfParts>
    <vt:vector size="43" baseType="lpstr">
      <vt:lpstr> Use Stmt</vt:lpstr>
      <vt:lpstr>Info</vt:lpstr>
      <vt:lpstr>Package Updates</vt:lpstr>
      <vt:lpstr>Exh A</vt:lpstr>
      <vt:lpstr>Exh B</vt:lpstr>
      <vt:lpstr>Adjustments1</vt:lpstr>
      <vt:lpstr>Adjustments</vt:lpstr>
      <vt:lpstr>Exh D</vt:lpstr>
      <vt:lpstr>Exh E</vt:lpstr>
      <vt:lpstr>Restatements</vt:lpstr>
      <vt:lpstr>Restatement GASB 101 example</vt:lpstr>
      <vt:lpstr>Comment</vt:lpstr>
      <vt:lpstr>Net Assets</vt:lpstr>
      <vt:lpstr>PriorYrExhD</vt:lpstr>
      <vt:lpstr>PriorYrExhE</vt:lpstr>
      <vt:lpstr>PYExhD Data</vt:lpstr>
      <vt:lpstr>PYExhE Data</vt:lpstr>
      <vt:lpstr>Notes</vt:lpstr>
      <vt:lpstr>Unrest and Rest Assets</vt:lpstr>
      <vt:lpstr>EquityData</vt:lpstr>
      <vt:lpstr>EquityDataRow</vt:lpstr>
      <vt:lpstr>FASB_ADJ</vt:lpstr>
      <vt:lpstr>FASB_BS</vt:lpstr>
      <vt:lpstr>FASB_IS</vt:lpstr>
      <vt:lpstr>FCCSnum</vt:lpstr>
      <vt:lpstr>Number</vt:lpstr>
      <vt:lpstr>Restatements!OLE_LINK1</vt:lpstr>
      <vt:lpstr>Adjustments1!Print_Area</vt:lpstr>
      <vt:lpstr>Comment!Print_Area</vt:lpstr>
      <vt:lpstr>'Exh A'!Print_Area</vt:lpstr>
      <vt:lpstr>'Exh B'!Print_Area</vt:lpstr>
      <vt:lpstr>'Exh D'!Print_Area</vt:lpstr>
      <vt:lpstr>'Exh E'!Print_Area</vt:lpstr>
      <vt:lpstr>Info!Print_Area</vt:lpstr>
      <vt:lpstr>'Net Assets'!Print_Area</vt:lpstr>
      <vt:lpstr>'Package Updates'!Print_Area</vt:lpstr>
      <vt:lpstr>PriorYrExhD!Print_Area</vt:lpstr>
      <vt:lpstr>Adjustments1!Print_Titles</vt:lpstr>
      <vt:lpstr>'Exh A'!Print_Titles</vt:lpstr>
      <vt:lpstr>PriorYrExhD!Print_Titles</vt:lpstr>
      <vt:lpstr>PriorYrExhE!Print_Titles</vt:lpstr>
      <vt:lpstr>'PYExhD Data'!Print_Titles</vt:lpstr>
      <vt:lpstr>'PYExhE Data'!Print_Titles</vt:lpstr>
    </vt:vector>
  </TitlesOfParts>
  <Manager/>
  <Company>State of North Carolina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cmurphy</dc:creator>
  <cp:keywords/>
  <dc:description/>
  <cp:lastModifiedBy>Patcha Kidking</cp:lastModifiedBy>
  <cp:revision/>
  <cp:lastPrinted>2025-04-16T14:28:43Z</cp:lastPrinted>
  <dcterms:created xsi:type="dcterms:W3CDTF">2003-04-21T14:28:15Z</dcterms:created>
  <dcterms:modified xsi:type="dcterms:W3CDTF">2025-07-02T17:57:46Z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0x01010028DAD092CE268B4A9CFCAE20B18605CD</vt:lpwstr>
  </property>
  <property fmtid="{D5CDD505-2E9C-101B-9397-08002B2CF9AE}" pid="5" name="_ExtendedDescription">
    <vt:lpwstr/>
  </property>
  <property fmtid="{D5CDD505-2E9C-101B-9397-08002B2CF9AE}" pid="6" name="MSIP_Label_defa4170-0d19-0005-0004-bc88714345d2_Enabled">
    <vt:lpwstr>true</vt:lpwstr>
  </property>
  <property fmtid="{D5CDD505-2E9C-101B-9397-08002B2CF9AE}" pid="7" name="MSIP_Label_defa4170-0d19-0005-0004-bc88714345d2_SetDate">
    <vt:lpwstr>2024-04-17T15:44:58Z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a1f43f48-54fe-433f-9378-968b45bc6665</vt:lpwstr>
  </property>
  <property fmtid="{D5CDD505-2E9C-101B-9397-08002B2CF9AE}" pid="11" name="MSIP_Label_defa4170-0d19-0005-0004-bc88714345d2_ActionId">
    <vt:lpwstr>22d69933-892e-475c-bd11-507699ed4454</vt:lpwstr>
  </property>
  <property fmtid="{D5CDD505-2E9C-101B-9397-08002B2CF9AE}" pid="12" name="MSIP_Label_defa4170-0d19-0005-0004-bc88714345d2_ContentBits">
    <vt:lpwstr>0</vt:lpwstr>
  </property>
  <property fmtid="{D5CDD505-2E9C-101B-9397-08002B2CF9AE}" pid="13" name="MediaServiceImageTags">
    <vt:lpwstr/>
  </property>
</Properties>
</file>