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odeName="ThisWorkbook" defaultThemeVersion="124226"/>
  <mc:AlternateContent xmlns:mc="http://schemas.openxmlformats.org/markup-compatibility/2006">
    <mc:Choice Requires="x15">
      <x15ac:absPath xmlns:x15ac="http://schemas.microsoft.com/office/spreadsheetml/2010/11/ac" url="K:\SASD\25CAFR\GASB 68 Templates\"/>
    </mc:Choice>
  </mc:AlternateContent>
  <xr:revisionPtr revIDLastSave="0" documentId="13_ncr:1_{F21002CD-1540-4733-AF60-6B4D0C06B8A9}" xr6:coauthVersionLast="47" xr6:coauthVersionMax="47" xr10:uidLastSave="{00000000-0000-0000-0000-000000000000}"/>
  <bookViews>
    <workbookView xWindow="-73275" yWindow="0" windowWidth="34860" windowHeight="20985" tabRatio="824" xr2:uid="{00000000-000D-0000-FFFF-FFFF00000000}"/>
  </bookViews>
  <sheets>
    <sheet name="Info" sheetId="5" r:id="rId1"/>
    <sheet name="Detail" sheetId="1" r:id="rId2"/>
    <sheet name="Summary" sheetId="2" r:id="rId3"/>
    <sheet name="Disclosures" sheetId="3" r:id="rId4"/>
    <sheet name="Data" sheetId="4" state="hidden" r:id="rId5"/>
    <sheet name="ER Contributions" sheetId="6" state="hidden" r:id="rId6"/>
    <sheet name="68 - Summary Exhibit" sheetId="9" state="hidden" r:id="rId7"/>
    <sheet name="68- Deferred Amortization" sheetId="10" state="hidden" r:id="rId8"/>
    <sheet name="CUpensionamts" sheetId="11" state="hidden" r:id="rId9"/>
  </sheets>
  <definedNames>
    <definedName name="_xlnm._FilterDatabase" localSheetId="4" hidden="1">Data!$A$1:$AU$88</definedName>
    <definedName name="_xlnm.Print_Area" localSheetId="6">'68 - Summary Exhibit'!$A$1:$N$3</definedName>
    <definedName name="_xlnm.Print_Area" localSheetId="7">'68- Deferred Amortization'!$A$1:$F$303</definedName>
    <definedName name="_xlnm.Print_Area" localSheetId="4">Data!$A$1:$AK$88</definedName>
    <definedName name="_xlnm.Print_Area" localSheetId="1">Detail!$A$1:$G$62</definedName>
    <definedName name="_xlnm.Print_Area" localSheetId="3">Disclosures!$A$6:$J$75</definedName>
    <definedName name="_xlnm.Print_Area" localSheetId="5">'ER Contributions'!$A$1:$D$300</definedName>
    <definedName name="_xlnm.Print_Area" localSheetId="2">Summary!$A$1:$I$21</definedName>
    <definedName name="_xlnm.Print_Titles" localSheetId="7">'68- Deferred Amortization'!$1:$3</definedName>
    <definedName name="_xlnm.Print_Titles" localSheetId="4">Data!$2:$3</definedName>
    <definedName name="_xlnm.Print_Titles" localSheetId="3">Disclosures!$1:$4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 i="11" l="1"/>
  <c r="D4" i="11"/>
  <c r="D5" i="11"/>
  <c r="D6" i="11"/>
  <c r="D7" i="11"/>
  <c r="D8" i="11"/>
  <c r="D9" i="11"/>
  <c r="D10" i="11"/>
  <c r="D11" i="11"/>
  <c r="D12" i="11"/>
  <c r="D13" i="11"/>
  <c r="D14" i="11"/>
  <c r="D15" i="11"/>
  <c r="D16" i="11"/>
  <c r="D17" i="11"/>
  <c r="D18" i="11"/>
  <c r="D19" i="11"/>
  <c r="D20" i="11"/>
  <c r="D21" i="11"/>
  <c r="D22" i="11"/>
  <c r="D23" i="11"/>
  <c r="D24" i="11"/>
  <c r="D25" i="11"/>
  <c r="D26" i="11"/>
  <c r="D27" i="11"/>
  <c r="D28" i="11"/>
  <c r="D29" i="11"/>
  <c r="D30" i="11"/>
  <c r="D31" i="11"/>
  <c r="D32" i="11"/>
  <c r="D33" i="11"/>
  <c r="D34" i="11"/>
  <c r="D35" i="11"/>
  <c r="D36" i="11"/>
  <c r="D37" i="11"/>
  <c r="D38" i="11"/>
  <c r="D39" i="11"/>
  <c r="D40" i="11"/>
  <c r="D41" i="11"/>
  <c r="D42" i="11"/>
  <c r="D43" i="11"/>
  <c r="D44" i="11"/>
  <c r="D45" i="11"/>
  <c r="D46" i="11"/>
  <c r="D47" i="11"/>
  <c r="D48" i="11"/>
  <c r="D49" i="11"/>
  <c r="D50" i="11"/>
  <c r="D51" i="11"/>
  <c r="D52" i="11"/>
  <c r="D53" i="11"/>
  <c r="D54" i="11"/>
  <c r="D55" i="11"/>
  <c r="D56" i="11"/>
  <c r="D57" i="11"/>
  <c r="D58" i="11"/>
  <c r="D59" i="11"/>
  <c r="D60" i="11"/>
  <c r="D61" i="11"/>
  <c r="D62" i="11"/>
  <c r="D63" i="11"/>
  <c r="D64" i="11"/>
  <c r="D65" i="11"/>
  <c r="D66" i="11"/>
  <c r="D67" i="11"/>
  <c r="D68" i="11"/>
  <c r="D69" i="11"/>
  <c r="D70" i="11"/>
  <c r="D71" i="11"/>
  <c r="D72" i="11"/>
  <c r="D73" i="11"/>
  <c r="D74" i="11"/>
  <c r="D75" i="11"/>
  <c r="D76" i="11"/>
  <c r="D77" i="11"/>
  <c r="D78" i="11"/>
  <c r="D79" i="11"/>
  <c r="D80" i="11"/>
  <c r="D81" i="11"/>
  <c r="D82" i="11"/>
  <c r="D83" i="11"/>
  <c r="D2" i="11"/>
  <c r="C3" i="11"/>
  <c r="C4" i="11"/>
  <c r="C5" i="11"/>
  <c r="C6" i="11"/>
  <c r="C7" i="11"/>
  <c r="C8" i="11"/>
  <c r="C9" i="11"/>
  <c r="C10" i="11"/>
  <c r="C11" i="11"/>
  <c r="C12" i="11"/>
  <c r="C13" i="11"/>
  <c r="C14" i="11"/>
  <c r="C15" i="11"/>
  <c r="C16" i="11"/>
  <c r="C17" i="11"/>
  <c r="C18" i="11"/>
  <c r="C19" i="11"/>
  <c r="C20" i="11"/>
  <c r="C21" i="11"/>
  <c r="C22" i="11"/>
  <c r="C23" i="11"/>
  <c r="C24" i="11"/>
  <c r="C25" i="11"/>
  <c r="C26" i="11"/>
  <c r="C27" i="11"/>
  <c r="C28" i="11"/>
  <c r="C29" i="11"/>
  <c r="C30" i="11"/>
  <c r="C31" i="11"/>
  <c r="C32" i="11"/>
  <c r="C33" i="11"/>
  <c r="C34" i="11"/>
  <c r="C35" i="11"/>
  <c r="C36" i="11"/>
  <c r="C37" i="11"/>
  <c r="C38" i="11"/>
  <c r="C39" i="11"/>
  <c r="C40" i="11"/>
  <c r="C41" i="11"/>
  <c r="C42" i="11"/>
  <c r="C43" i="11"/>
  <c r="C44" i="11"/>
  <c r="C45" i="11"/>
  <c r="C46" i="11"/>
  <c r="C47" i="11"/>
  <c r="C48" i="11"/>
  <c r="C49" i="11"/>
  <c r="C50" i="11"/>
  <c r="C51" i="11"/>
  <c r="C52" i="11"/>
  <c r="C53" i="11"/>
  <c r="C54" i="11"/>
  <c r="C55" i="11"/>
  <c r="C56" i="11"/>
  <c r="C57" i="11"/>
  <c r="C58" i="11"/>
  <c r="C59" i="11"/>
  <c r="C60" i="11"/>
  <c r="C61" i="11"/>
  <c r="C62" i="11"/>
  <c r="C63" i="11"/>
  <c r="C64" i="11"/>
  <c r="C65" i="11"/>
  <c r="C66" i="11"/>
  <c r="C67" i="11"/>
  <c r="C68" i="11"/>
  <c r="C69" i="11"/>
  <c r="C70" i="11"/>
  <c r="C71" i="11"/>
  <c r="C72" i="11"/>
  <c r="C73" i="11"/>
  <c r="C74" i="11"/>
  <c r="C75" i="11"/>
  <c r="C76" i="11"/>
  <c r="C77" i="11"/>
  <c r="C78" i="11"/>
  <c r="C79" i="11"/>
  <c r="C80" i="11"/>
  <c r="C81" i="11"/>
  <c r="C82" i="11"/>
  <c r="C83" i="11"/>
  <c r="C2" i="11"/>
  <c r="E31" i="6"/>
  <c r="E52" i="6" l="1"/>
  <c r="E291" i="6"/>
  <c r="N5" i="9" l="1"/>
  <c r="N6" i="9"/>
  <c r="N7" i="9"/>
  <c r="N8" i="9"/>
  <c r="N9" i="9"/>
  <c r="N10" i="9"/>
  <c r="N11" i="9"/>
  <c r="N12" i="9"/>
  <c r="N13" i="9"/>
  <c r="N14" i="9"/>
  <c r="N15" i="9"/>
  <c r="N16" i="9"/>
  <c r="N17" i="9"/>
  <c r="N18" i="9"/>
  <c r="N19" i="9"/>
  <c r="N20" i="9"/>
  <c r="N21" i="9"/>
  <c r="N22" i="9"/>
  <c r="N23" i="9"/>
  <c r="N24" i="9"/>
  <c r="N25" i="9"/>
  <c r="N26" i="9"/>
  <c r="N27" i="9"/>
  <c r="N28" i="9"/>
  <c r="N29" i="9"/>
  <c r="N30" i="9"/>
  <c r="N31" i="9"/>
  <c r="N32" i="9"/>
  <c r="N33" i="9"/>
  <c r="N34" i="9"/>
  <c r="N35" i="9"/>
  <c r="N36" i="9"/>
  <c r="N37" i="9"/>
  <c r="N38" i="9"/>
  <c r="N39" i="9"/>
  <c r="N40" i="9"/>
  <c r="N41" i="9"/>
  <c r="N42" i="9"/>
  <c r="N43" i="9"/>
  <c r="N44" i="9"/>
  <c r="N45" i="9"/>
  <c r="N46" i="9"/>
  <c r="N47" i="9"/>
  <c r="N48" i="9"/>
  <c r="N49" i="9"/>
  <c r="N50" i="9"/>
  <c r="N51" i="9"/>
  <c r="N52" i="9"/>
  <c r="N53" i="9"/>
  <c r="N54" i="9"/>
  <c r="N55" i="9"/>
  <c r="N56" i="9"/>
  <c r="N57" i="9"/>
  <c r="N58" i="9"/>
  <c r="N59" i="9"/>
  <c r="N60" i="9"/>
  <c r="N61" i="9"/>
  <c r="N62" i="9"/>
  <c r="N63" i="9"/>
  <c r="N64" i="9"/>
  <c r="N65" i="9"/>
  <c r="N66" i="9"/>
  <c r="N67" i="9"/>
  <c r="N68" i="9"/>
  <c r="N69" i="9"/>
  <c r="N70" i="9"/>
  <c r="N71" i="9"/>
  <c r="N72" i="9"/>
  <c r="N73" i="9"/>
  <c r="N74" i="9"/>
  <c r="N75" i="9"/>
  <c r="N76" i="9"/>
  <c r="N77" i="9"/>
  <c r="N78" i="9"/>
  <c r="N79" i="9"/>
  <c r="N80" i="9"/>
  <c r="N81" i="9"/>
  <c r="N82" i="9"/>
  <c r="N83" i="9"/>
  <c r="N84" i="9"/>
  <c r="N85" i="9"/>
  <c r="N86" i="9"/>
  <c r="N87" i="9"/>
  <c r="N88" i="9"/>
  <c r="N89" i="9"/>
  <c r="N90" i="9"/>
  <c r="N91" i="9"/>
  <c r="N92" i="9"/>
  <c r="N93" i="9"/>
  <c r="N94" i="9"/>
  <c r="N95" i="9"/>
  <c r="N96" i="9"/>
  <c r="N97" i="9"/>
  <c r="N98" i="9"/>
  <c r="N99" i="9"/>
  <c r="N100" i="9"/>
  <c r="N101" i="9"/>
  <c r="N102" i="9"/>
  <c r="N103" i="9"/>
  <c r="N104" i="9"/>
  <c r="N105" i="9"/>
  <c r="N106" i="9"/>
  <c r="N107" i="9"/>
  <c r="N108" i="9"/>
  <c r="N109" i="9"/>
  <c r="N110" i="9"/>
  <c r="N111" i="9"/>
  <c r="N112" i="9"/>
  <c r="N113" i="9"/>
  <c r="N114" i="9"/>
  <c r="N115" i="9"/>
  <c r="N116" i="9"/>
  <c r="N117" i="9"/>
  <c r="N118" i="9"/>
  <c r="N119" i="9"/>
  <c r="N120" i="9"/>
  <c r="N121" i="9"/>
  <c r="N122" i="9"/>
  <c r="N123" i="9"/>
  <c r="N124" i="9"/>
  <c r="N125" i="9"/>
  <c r="N126" i="9"/>
  <c r="N127" i="9"/>
  <c r="N128" i="9"/>
  <c r="N129" i="9"/>
  <c r="N130" i="9"/>
  <c r="N131" i="9"/>
  <c r="N132" i="9"/>
  <c r="N133" i="9"/>
  <c r="N134" i="9"/>
  <c r="N135" i="9"/>
  <c r="N136" i="9"/>
  <c r="N137" i="9"/>
  <c r="N138" i="9"/>
  <c r="N139" i="9"/>
  <c r="N140" i="9"/>
  <c r="N141" i="9"/>
  <c r="N142" i="9"/>
  <c r="N143" i="9"/>
  <c r="N144" i="9"/>
  <c r="N145" i="9"/>
  <c r="N146" i="9"/>
  <c r="N147" i="9"/>
  <c r="N148" i="9"/>
  <c r="N149" i="9"/>
  <c r="N150" i="9"/>
  <c r="N151" i="9"/>
  <c r="N152" i="9"/>
  <c r="N153" i="9"/>
  <c r="N154" i="9"/>
  <c r="N155" i="9"/>
  <c r="N156" i="9"/>
  <c r="N157" i="9"/>
  <c r="N158" i="9"/>
  <c r="N159" i="9"/>
  <c r="N160" i="9"/>
  <c r="N161" i="9"/>
  <c r="N162" i="9"/>
  <c r="N163" i="9"/>
  <c r="N164" i="9"/>
  <c r="N165" i="9"/>
  <c r="N166" i="9"/>
  <c r="N167" i="9"/>
  <c r="N168" i="9"/>
  <c r="N169" i="9"/>
  <c r="N170" i="9"/>
  <c r="N171" i="9"/>
  <c r="N172" i="9"/>
  <c r="N173" i="9"/>
  <c r="N174" i="9"/>
  <c r="N175" i="9"/>
  <c r="N176" i="9"/>
  <c r="N177" i="9"/>
  <c r="N178" i="9"/>
  <c r="N179" i="9"/>
  <c r="N180" i="9"/>
  <c r="N181" i="9"/>
  <c r="N182" i="9"/>
  <c r="N183" i="9"/>
  <c r="N184" i="9"/>
  <c r="N185" i="9"/>
  <c r="N186" i="9"/>
  <c r="N187" i="9"/>
  <c r="N188" i="9"/>
  <c r="N189" i="9"/>
  <c r="N190" i="9"/>
  <c r="N191" i="9"/>
  <c r="N192" i="9"/>
  <c r="N193" i="9"/>
  <c r="N194" i="9"/>
  <c r="N195" i="9"/>
  <c r="N196" i="9"/>
  <c r="N197" i="9"/>
  <c r="N198" i="9"/>
  <c r="N199" i="9"/>
  <c r="N200" i="9"/>
  <c r="N201" i="9"/>
  <c r="N202" i="9"/>
  <c r="N203" i="9"/>
  <c r="N204" i="9"/>
  <c r="N205" i="9"/>
  <c r="N206" i="9"/>
  <c r="N207" i="9"/>
  <c r="N208" i="9"/>
  <c r="N209" i="9"/>
  <c r="N210" i="9"/>
  <c r="N211" i="9"/>
  <c r="N212" i="9"/>
  <c r="N213" i="9"/>
  <c r="N214" i="9"/>
  <c r="N215" i="9"/>
  <c r="N216" i="9"/>
  <c r="N217" i="9"/>
  <c r="N218" i="9"/>
  <c r="N219" i="9"/>
  <c r="N220" i="9"/>
  <c r="N221" i="9"/>
  <c r="N222" i="9"/>
  <c r="N223" i="9"/>
  <c r="N224" i="9"/>
  <c r="N225" i="9"/>
  <c r="N226" i="9"/>
  <c r="N227" i="9"/>
  <c r="N228" i="9"/>
  <c r="N229" i="9"/>
  <c r="N230" i="9"/>
  <c r="N231" i="9"/>
  <c r="N232" i="9"/>
  <c r="N233" i="9"/>
  <c r="N234" i="9"/>
  <c r="N235" i="9"/>
  <c r="N236" i="9"/>
  <c r="N237" i="9"/>
  <c r="N238" i="9"/>
  <c r="N239" i="9"/>
  <c r="N240" i="9"/>
  <c r="N241" i="9"/>
  <c r="N242" i="9"/>
  <c r="N243" i="9"/>
  <c r="N244" i="9"/>
  <c r="N245" i="9"/>
  <c r="N246" i="9"/>
  <c r="N247" i="9"/>
  <c r="N248" i="9"/>
  <c r="N249" i="9"/>
  <c r="N250" i="9"/>
  <c r="N251" i="9"/>
  <c r="N252" i="9"/>
  <c r="N253" i="9"/>
  <c r="N254" i="9"/>
  <c r="N255" i="9"/>
  <c r="N256" i="9"/>
  <c r="N257" i="9"/>
  <c r="N258" i="9"/>
  <c r="N259" i="9"/>
  <c r="N260" i="9"/>
  <c r="N261" i="9"/>
  <c r="N262" i="9"/>
  <c r="N263" i="9"/>
  <c r="N264" i="9"/>
  <c r="N265" i="9"/>
  <c r="N266" i="9"/>
  <c r="N267" i="9"/>
  <c r="N268" i="9"/>
  <c r="N269" i="9"/>
  <c r="N270" i="9"/>
  <c r="N271" i="9"/>
  <c r="N272" i="9"/>
  <c r="N273" i="9"/>
  <c r="N274" i="9"/>
  <c r="N275" i="9"/>
  <c r="N276" i="9"/>
  <c r="N277" i="9"/>
  <c r="N278" i="9"/>
  <c r="N279" i="9"/>
  <c r="N280" i="9"/>
  <c r="N281" i="9"/>
  <c r="N282" i="9"/>
  <c r="N283" i="9"/>
  <c r="N284" i="9"/>
  <c r="N285" i="9"/>
  <c r="N286" i="9"/>
  <c r="N287" i="9"/>
  <c r="N288" i="9"/>
  <c r="N289" i="9"/>
  <c r="N290" i="9"/>
  <c r="N291" i="9"/>
  <c r="N292" i="9"/>
  <c r="N293" i="9"/>
  <c r="N294" i="9"/>
  <c r="N295" i="9"/>
  <c r="N296" i="9"/>
  <c r="N4" i="9"/>
  <c r="O5" i="9" l="1"/>
  <c r="O6" i="9"/>
  <c r="O7" i="9"/>
  <c r="O8" i="9"/>
  <c r="O9" i="9"/>
  <c r="O10" i="9"/>
  <c r="O11" i="9"/>
  <c r="O12" i="9"/>
  <c r="O13" i="9"/>
  <c r="O14" i="9"/>
  <c r="O15" i="9"/>
  <c r="O16" i="9"/>
  <c r="O17" i="9"/>
  <c r="O18" i="9"/>
  <c r="O19" i="9"/>
  <c r="O20" i="9"/>
  <c r="O21" i="9"/>
  <c r="O22" i="9"/>
  <c r="O23" i="9"/>
  <c r="O24" i="9"/>
  <c r="O25" i="9"/>
  <c r="O26" i="9"/>
  <c r="O27" i="9"/>
  <c r="O28" i="9"/>
  <c r="O29" i="9"/>
  <c r="O30" i="9"/>
  <c r="O31" i="9"/>
  <c r="O32" i="9"/>
  <c r="O33" i="9"/>
  <c r="O34" i="9"/>
  <c r="O35" i="9"/>
  <c r="O36" i="9"/>
  <c r="O37" i="9"/>
  <c r="O38" i="9"/>
  <c r="O39" i="9"/>
  <c r="O40" i="9"/>
  <c r="O41" i="9"/>
  <c r="O42" i="9"/>
  <c r="O43" i="9"/>
  <c r="O44" i="9"/>
  <c r="O45" i="9"/>
  <c r="O46" i="9"/>
  <c r="O47" i="9"/>
  <c r="O48" i="9"/>
  <c r="O49" i="9"/>
  <c r="O50" i="9"/>
  <c r="O51" i="9"/>
  <c r="O52" i="9"/>
  <c r="O53" i="9"/>
  <c r="O54" i="9"/>
  <c r="O55" i="9"/>
  <c r="O56" i="9"/>
  <c r="O57" i="9"/>
  <c r="O58" i="9"/>
  <c r="O59" i="9"/>
  <c r="O60" i="9"/>
  <c r="O61" i="9"/>
  <c r="O62" i="9"/>
  <c r="O63" i="9"/>
  <c r="O64" i="9"/>
  <c r="O65" i="9"/>
  <c r="O66" i="9"/>
  <c r="O67" i="9"/>
  <c r="O68" i="9"/>
  <c r="O69" i="9"/>
  <c r="O70" i="9"/>
  <c r="O71" i="9"/>
  <c r="O72" i="9"/>
  <c r="O73" i="9"/>
  <c r="O74" i="9"/>
  <c r="O75" i="9"/>
  <c r="O76" i="9"/>
  <c r="O77" i="9"/>
  <c r="O78" i="9"/>
  <c r="O79" i="9"/>
  <c r="O80" i="9"/>
  <c r="O81" i="9"/>
  <c r="O82" i="9"/>
  <c r="O83" i="9"/>
  <c r="O84" i="9"/>
  <c r="O85" i="9"/>
  <c r="O86" i="9"/>
  <c r="O87" i="9"/>
  <c r="O88" i="9"/>
  <c r="O89" i="9"/>
  <c r="O90" i="9"/>
  <c r="O91" i="9"/>
  <c r="O92" i="9"/>
  <c r="O93" i="9"/>
  <c r="O94" i="9"/>
  <c r="O95" i="9"/>
  <c r="O96" i="9"/>
  <c r="O97" i="9"/>
  <c r="O98" i="9"/>
  <c r="O99" i="9"/>
  <c r="O100" i="9"/>
  <c r="O101" i="9"/>
  <c r="O102" i="9"/>
  <c r="O103" i="9"/>
  <c r="O104" i="9"/>
  <c r="O105" i="9"/>
  <c r="O106" i="9"/>
  <c r="O107" i="9"/>
  <c r="O108" i="9"/>
  <c r="O109" i="9"/>
  <c r="O110" i="9"/>
  <c r="O111" i="9"/>
  <c r="O112" i="9"/>
  <c r="O113" i="9"/>
  <c r="O114" i="9"/>
  <c r="O115" i="9"/>
  <c r="O116" i="9"/>
  <c r="O117" i="9"/>
  <c r="O118" i="9"/>
  <c r="O119" i="9"/>
  <c r="O120" i="9"/>
  <c r="O121" i="9"/>
  <c r="O122" i="9"/>
  <c r="O123" i="9"/>
  <c r="O124" i="9"/>
  <c r="O125" i="9"/>
  <c r="O126" i="9"/>
  <c r="O127" i="9"/>
  <c r="O128" i="9"/>
  <c r="O129" i="9"/>
  <c r="O130" i="9"/>
  <c r="O131" i="9"/>
  <c r="O132" i="9"/>
  <c r="O133" i="9"/>
  <c r="O134" i="9"/>
  <c r="O135" i="9"/>
  <c r="O136" i="9"/>
  <c r="O137" i="9"/>
  <c r="O138" i="9"/>
  <c r="O139" i="9"/>
  <c r="O140" i="9"/>
  <c r="O141" i="9"/>
  <c r="O142" i="9"/>
  <c r="O143" i="9"/>
  <c r="O144" i="9"/>
  <c r="O145" i="9"/>
  <c r="O146" i="9"/>
  <c r="O147" i="9"/>
  <c r="O148" i="9"/>
  <c r="O149" i="9"/>
  <c r="O150" i="9"/>
  <c r="O151" i="9"/>
  <c r="O152" i="9"/>
  <c r="O153" i="9"/>
  <c r="O154" i="9"/>
  <c r="O155" i="9"/>
  <c r="O156" i="9"/>
  <c r="O157" i="9"/>
  <c r="O158" i="9"/>
  <c r="O159" i="9"/>
  <c r="O160" i="9"/>
  <c r="O161" i="9"/>
  <c r="O162" i="9"/>
  <c r="O163" i="9"/>
  <c r="O164" i="9"/>
  <c r="O165" i="9"/>
  <c r="O166" i="9"/>
  <c r="O167" i="9"/>
  <c r="O168" i="9"/>
  <c r="O169" i="9"/>
  <c r="O170" i="9"/>
  <c r="O171" i="9"/>
  <c r="O172" i="9"/>
  <c r="O173" i="9"/>
  <c r="O174" i="9"/>
  <c r="O175" i="9"/>
  <c r="O176" i="9"/>
  <c r="O177" i="9"/>
  <c r="O178" i="9"/>
  <c r="O179" i="9"/>
  <c r="O180" i="9"/>
  <c r="O181" i="9"/>
  <c r="O182" i="9"/>
  <c r="O183" i="9"/>
  <c r="O184" i="9"/>
  <c r="O185" i="9"/>
  <c r="O186" i="9"/>
  <c r="O187" i="9"/>
  <c r="O188" i="9"/>
  <c r="O189" i="9"/>
  <c r="O190" i="9"/>
  <c r="O191" i="9"/>
  <c r="O192" i="9"/>
  <c r="O193" i="9"/>
  <c r="O194" i="9"/>
  <c r="O195" i="9"/>
  <c r="O196" i="9"/>
  <c r="O197" i="9"/>
  <c r="O198" i="9"/>
  <c r="O199" i="9"/>
  <c r="O200" i="9"/>
  <c r="O201" i="9"/>
  <c r="O202" i="9"/>
  <c r="O203" i="9"/>
  <c r="O204" i="9"/>
  <c r="O205" i="9"/>
  <c r="O206" i="9"/>
  <c r="O207" i="9"/>
  <c r="O208" i="9"/>
  <c r="O209" i="9"/>
  <c r="O210" i="9"/>
  <c r="O211" i="9"/>
  <c r="O212" i="9"/>
  <c r="O213" i="9"/>
  <c r="O214" i="9"/>
  <c r="O215" i="9"/>
  <c r="O216" i="9"/>
  <c r="O217" i="9"/>
  <c r="O218" i="9"/>
  <c r="O219" i="9"/>
  <c r="O220" i="9"/>
  <c r="O221" i="9"/>
  <c r="O222" i="9"/>
  <c r="O223" i="9"/>
  <c r="O224" i="9"/>
  <c r="O225" i="9"/>
  <c r="O226" i="9"/>
  <c r="O227" i="9"/>
  <c r="O228" i="9"/>
  <c r="O229" i="9"/>
  <c r="O230" i="9"/>
  <c r="O231" i="9"/>
  <c r="O232" i="9"/>
  <c r="O233" i="9"/>
  <c r="O234" i="9"/>
  <c r="O235" i="9"/>
  <c r="O236" i="9"/>
  <c r="O237" i="9"/>
  <c r="O238" i="9"/>
  <c r="O239" i="9"/>
  <c r="O240" i="9"/>
  <c r="O241" i="9"/>
  <c r="O242" i="9"/>
  <c r="O243" i="9"/>
  <c r="O244" i="9"/>
  <c r="O245" i="9"/>
  <c r="O246" i="9"/>
  <c r="O247" i="9"/>
  <c r="O248" i="9"/>
  <c r="O249" i="9"/>
  <c r="O250" i="9"/>
  <c r="O251" i="9"/>
  <c r="O252" i="9"/>
  <c r="O253" i="9"/>
  <c r="O254" i="9"/>
  <c r="O255" i="9"/>
  <c r="O256" i="9"/>
  <c r="O257" i="9"/>
  <c r="O258" i="9"/>
  <c r="O259" i="9"/>
  <c r="O260" i="9"/>
  <c r="O261" i="9"/>
  <c r="O262" i="9"/>
  <c r="O263" i="9"/>
  <c r="O264" i="9"/>
  <c r="O265" i="9"/>
  <c r="O266" i="9"/>
  <c r="O267" i="9"/>
  <c r="O268" i="9"/>
  <c r="O269" i="9"/>
  <c r="O270" i="9"/>
  <c r="O271" i="9"/>
  <c r="O272" i="9"/>
  <c r="O273" i="9"/>
  <c r="O274" i="9"/>
  <c r="O275" i="9"/>
  <c r="O276" i="9"/>
  <c r="O277" i="9"/>
  <c r="O278" i="9"/>
  <c r="O279" i="9"/>
  <c r="O280" i="9"/>
  <c r="O281" i="9"/>
  <c r="O282" i="9"/>
  <c r="O283" i="9"/>
  <c r="O284" i="9"/>
  <c r="O285" i="9"/>
  <c r="O286" i="9"/>
  <c r="O287" i="9"/>
  <c r="O288" i="9"/>
  <c r="O289" i="9"/>
  <c r="O290" i="9"/>
  <c r="O291" i="9"/>
  <c r="O292" i="9"/>
  <c r="O293" i="9"/>
  <c r="O294" i="9"/>
  <c r="O295" i="9"/>
  <c r="O296" i="9"/>
  <c r="O297" i="9"/>
  <c r="O298" i="9"/>
  <c r="O299" i="9"/>
  <c r="O300" i="9"/>
  <c r="O301" i="9"/>
  <c r="O302" i="9"/>
  <c r="O303" i="9"/>
  <c r="O304" i="9"/>
  <c r="O4" i="9"/>
  <c r="G303" i="10"/>
  <c r="F303" i="10"/>
  <c r="F305" i="10" s="1"/>
  <c r="E303" i="10"/>
  <c r="E305" i="10" s="1"/>
  <c r="D303" i="10"/>
  <c r="D305" i="10" s="1"/>
  <c r="C303" i="10"/>
  <c r="C305" i="10" s="1"/>
  <c r="C299" i="6"/>
  <c r="D299" i="6"/>
  <c r="D301" i="6" s="1"/>
  <c r="C84" i="11" l="1"/>
  <c r="M85" i="4"/>
  <c r="M80" i="4"/>
  <c r="M67" i="4"/>
  <c r="M65" i="4"/>
  <c r="M41" i="4"/>
  <c r="M42" i="4"/>
  <c r="M36" i="4"/>
  <c r="M30" i="4"/>
  <c r="M31" i="4"/>
  <c r="M27" i="4"/>
  <c r="M20" i="4"/>
  <c r="M17" i="4"/>
  <c r="M18" i="4"/>
  <c r="M19" i="4"/>
  <c r="M12" i="4"/>
  <c r="M13" i="4"/>
  <c r="M14" i="4"/>
  <c r="M8" i="4"/>
  <c r="M9" i="4"/>
  <c r="M10" i="4"/>
  <c r="M6" i="4"/>
  <c r="H305" i="9"/>
  <c r="I305" i="9"/>
  <c r="D84" i="11" l="1"/>
  <c r="C4" i="4"/>
  <c r="G84" i="4" l="1"/>
  <c r="AT84" i="4" s="1"/>
  <c r="N303" i="9" l="1"/>
  <c r="N304" i="9"/>
  <c r="D305" i="9"/>
  <c r="E305" i="9"/>
  <c r="F305" i="9"/>
  <c r="G305" i="9"/>
  <c r="J305" i="9"/>
  <c r="K305" i="9"/>
  <c r="L305" i="9"/>
  <c r="M305" i="9"/>
  <c r="C305" i="9"/>
  <c r="S4" i="4" l="1"/>
  <c r="N302" i="9"/>
  <c r="N301" i="9"/>
  <c r="N300" i="9"/>
  <c r="N299" i="9"/>
  <c r="N298" i="9"/>
  <c r="N297" i="9"/>
  <c r="N305" i="9" l="1"/>
  <c r="H57" i="1" l="1"/>
  <c r="H21" i="1" l="1"/>
  <c r="Q81" i="4"/>
  <c r="R81" i="4"/>
  <c r="S81" i="4"/>
  <c r="T81" i="4"/>
  <c r="U81" i="4"/>
  <c r="Q82" i="4"/>
  <c r="R82" i="4"/>
  <c r="S82" i="4"/>
  <c r="T82" i="4"/>
  <c r="U82" i="4"/>
  <c r="Q83" i="4"/>
  <c r="R83" i="4"/>
  <c r="S83" i="4"/>
  <c r="T83" i="4"/>
  <c r="U83" i="4"/>
  <c r="Q84" i="4"/>
  <c r="R84" i="4"/>
  <c r="S84" i="4"/>
  <c r="T84" i="4"/>
  <c r="U84" i="4"/>
  <c r="Q85" i="4"/>
  <c r="R85" i="4"/>
  <c r="S85" i="4"/>
  <c r="T85" i="4"/>
  <c r="U85" i="4"/>
  <c r="O81" i="4"/>
  <c r="O82" i="4"/>
  <c r="O83" i="4"/>
  <c r="O84" i="4"/>
  <c r="O85" i="4"/>
  <c r="C81" i="4"/>
  <c r="D81" i="4"/>
  <c r="E81" i="4"/>
  <c r="AS81" i="4" s="1"/>
  <c r="F81" i="4"/>
  <c r="G81" i="4"/>
  <c r="AT81" i="4" s="1"/>
  <c r="H81" i="4"/>
  <c r="AQ81" i="4" s="1"/>
  <c r="I81" i="4"/>
  <c r="J81" i="4"/>
  <c r="AP81" i="4" s="1"/>
  <c r="K81" i="4"/>
  <c r="AU81" i="4" s="1"/>
  <c r="L81" i="4"/>
  <c r="AR81" i="4" s="1"/>
  <c r="M81" i="4"/>
  <c r="N81" i="4"/>
  <c r="C82" i="4"/>
  <c r="D82" i="4"/>
  <c r="E82" i="4"/>
  <c r="AS82" i="4" s="1"/>
  <c r="F82" i="4"/>
  <c r="G82" i="4"/>
  <c r="AT82" i="4" s="1"/>
  <c r="H82" i="4"/>
  <c r="AQ82" i="4" s="1"/>
  <c r="I82" i="4"/>
  <c r="J82" i="4"/>
  <c r="AP82" i="4" s="1"/>
  <c r="K82" i="4"/>
  <c r="AU82" i="4" s="1"/>
  <c r="L82" i="4"/>
  <c r="AR82" i="4" s="1"/>
  <c r="M82" i="4"/>
  <c r="N82" i="4"/>
  <c r="C83" i="4"/>
  <c r="D83" i="4"/>
  <c r="E83" i="4"/>
  <c r="AS83" i="4" s="1"/>
  <c r="F83" i="4"/>
  <c r="G83" i="4"/>
  <c r="AT83" i="4" s="1"/>
  <c r="H83" i="4"/>
  <c r="AQ83" i="4" s="1"/>
  <c r="I83" i="4"/>
  <c r="J83" i="4"/>
  <c r="AP83" i="4" s="1"/>
  <c r="K83" i="4"/>
  <c r="AU83" i="4" s="1"/>
  <c r="L83" i="4"/>
  <c r="AR83" i="4" s="1"/>
  <c r="M83" i="4"/>
  <c r="N83" i="4"/>
  <c r="C84" i="4"/>
  <c r="D84" i="4"/>
  <c r="E84" i="4"/>
  <c r="AS84" i="4" s="1"/>
  <c r="F84" i="4"/>
  <c r="H84" i="4"/>
  <c r="AQ84" i="4" s="1"/>
  <c r="I84" i="4"/>
  <c r="J84" i="4"/>
  <c r="AP84" i="4" s="1"/>
  <c r="K84" i="4"/>
  <c r="AU84" i="4" s="1"/>
  <c r="L84" i="4"/>
  <c r="AR84" i="4" s="1"/>
  <c r="M84" i="4"/>
  <c r="N84" i="4"/>
  <c r="C85" i="4"/>
  <c r="D85" i="4"/>
  <c r="E85" i="4"/>
  <c r="AS85" i="4" s="1"/>
  <c r="F85" i="4"/>
  <c r="G85" i="4"/>
  <c r="AT85" i="4" s="1"/>
  <c r="H85" i="4"/>
  <c r="AQ85" i="4" s="1"/>
  <c r="I85" i="4"/>
  <c r="J85" i="4"/>
  <c r="AP85" i="4" s="1"/>
  <c r="K85" i="4"/>
  <c r="AU85" i="4" s="1"/>
  <c r="L85" i="4"/>
  <c r="AR85" i="4" s="1"/>
  <c r="N85" i="4"/>
  <c r="P81" i="4" l="1"/>
  <c r="V81" i="4" s="1"/>
  <c r="P85" i="4"/>
  <c r="V85" i="4" s="1"/>
  <c r="AO84" i="4"/>
  <c r="AO83" i="4"/>
  <c r="AO82" i="4"/>
  <c r="AO81" i="4"/>
  <c r="AO85" i="4"/>
  <c r="P84" i="4"/>
  <c r="V84" i="4" s="1"/>
  <c r="P83" i="4"/>
  <c r="V83" i="4" s="1"/>
  <c r="P82" i="4"/>
  <c r="V82" i="4" s="1"/>
  <c r="W85" i="4"/>
  <c r="W84" i="4"/>
  <c r="W82" i="4"/>
  <c r="W83" i="4"/>
  <c r="W81" i="4"/>
  <c r="D25" i="3" l="1"/>
  <c r="Q57" i="4" l="1"/>
  <c r="R57" i="4"/>
  <c r="S57" i="4"/>
  <c r="T57" i="4"/>
  <c r="U57" i="4"/>
  <c r="Q58" i="4"/>
  <c r="R58" i="4"/>
  <c r="S58" i="4"/>
  <c r="T58" i="4"/>
  <c r="U58" i="4"/>
  <c r="Q59" i="4"/>
  <c r="R59" i="4"/>
  <c r="S59" i="4"/>
  <c r="T59" i="4"/>
  <c r="U59" i="4"/>
  <c r="Q60" i="4"/>
  <c r="R60" i="4"/>
  <c r="S60" i="4"/>
  <c r="T60" i="4"/>
  <c r="U60" i="4"/>
  <c r="Q61" i="4"/>
  <c r="R61" i="4"/>
  <c r="S61" i="4"/>
  <c r="T61" i="4"/>
  <c r="U61" i="4"/>
  <c r="Q62" i="4"/>
  <c r="R62" i="4"/>
  <c r="S62" i="4"/>
  <c r="T62" i="4"/>
  <c r="U62" i="4"/>
  <c r="Q63" i="4"/>
  <c r="R63" i="4"/>
  <c r="S63" i="4"/>
  <c r="T63" i="4"/>
  <c r="U63" i="4"/>
  <c r="Q64" i="4"/>
  <c r="R64" i="4"/>
  <c r="S64" i="4"/>
  <c r="T64" i="4"/>
  <c r="U64" i="4"/>
  <c r="Q65" i="4"/>
  <c r="R65" i="4"/>
  <c r="S65" i="4"/>
  <c r="T65" i="4"/>
  <c r="U65" i="4"/>
  <c r="Q66" i="4"/>
  <c r="R66" i="4"/>
  <c r="S66" i="4"/>
  <c r="T66" i="4"/>
  <c r="U66" i="4"/>
  <c r="Q67" i="4"/>
  <c r="R67" i="4"/>
  <c r="S67" i="4"/>
  <c r="T67" i="4"/>
  <c r="U67" i="4"/>
  <c r="Q68" i="4"/>
  <c r="R68" i="4"/>
  <c r="S68" i="4"/>
  <c r="T68" i="4"/>
  <c r="U68" i="4"/>
  <c r="Q69" i="4"/>
  <c r="R69" i="4"/>
  <c r="S69" i="4"/>
  <c r="T69" i="4"/>
  <c r="U69" i="4"/>
  <c r="Q70" i="4"/>
  <c r="R70" i="4"/>
  <c r="S70" i="4"/>
  <c r="T70" i="4"/>
  <c r="U70" i="4"/>
  <c r="Q71" i="4"/>
  <c r="R71" i="4"/>
  <c r="S71" i="4"/>
  <c r="T71" i="4"/>
  <c r="U71" i="4"/>
  <c r="Q72" i="4"/>
  <c r="R72" i="4"/>
  <c r="S72" i="4"/>
  <c r="T72" i="4"/>
  <c r="U72" i="4"/>
  <c r="Q73" i="4"/>
  <c r="R73" i="4"/>
  <c r="S73" i="4"/>
  <c r="T73" i="4"/>
  <c r="U73" i="4"/>
  <c r="Q74" i="4"/>
  <c r="R74" i="4"/>
  <c r="S74" i="4"/>
  <c r="T74" i="4"/>
  <c r="U74" i="4"/>
  <c r="Q75" i="4"/>
  <c r="R75" i="4"/>
  <c r="S75" i="4"/>
  <c r="T75" i="4"/>
  <c r="U75" i="4"/>
  <c r="Q76" i="4"/>
  <c r="R76" i="4"/>
  <c r="S76" i="4"/>
  <c r="T76" i="4"/>
  <c r="U76" i="4"/>
  <c r="Q77" i="4"/>
  <c r="R77" i="4"/>
  <c r="S77" i="4"/>
  <c r="T77" i="4"/>
  <c r="U77" i="4"/>
  <c r="Q78" i="4"/>
  <c r="R78" i="4"/>
  <c r="S78" i="4"/>
  <c r="T78" i="4"/>
  <c r="U78" i="4"/>
  <c r="Q79" i="4"/>
  <c r="R79" i="4"/>
  <c r="S79" i="4"/>
  <c r="T79" i="4"/>
  <c r="U79" i="4"/>
  <c r="Q80" i="4"/>
  <c r="R80" i="4"/>
  <c r="S80" i="4"/>
  <c r="T80" i="4"/>
  <c r="U80" i="4"/>
  <c r="Q31" i="4"/>
  <c r="R31" i="4"/>
  <c r="S31" i="4"/>
  <c r="T31" i="4"/>
  <c r="U31" i="4"/>
  <c r="Q32" i="4"/>
  <c r="R32" i="4"/>
  <c r="S32" i="4"/>
  <c r="T32" i="4"/>
  <c r="U32" i="4"/>
  <c r="Q33" i="4"/>
  <c r="R33" i="4"/>
  <c r="S33" i="4"/>
  <c r="T33" i="4"/>
  <c r="U33" i="4"/>
  <c r="Q34" i="4"/>
  <c r="R34" i="4"/>
  <c r="S34" i="4"/>
  <c r="T34" i="4"/>
  <c r="U34" i="4"/>
  <c r="Q35" i="4"/>
  <c r="R35" i="4"/>
  <c r="S35" i="4"/>
  <c r="T35" i="4"/>
  <c r="U35" i="4"/>
  <c r="Q36" i="4"/>
  <c r="R36" i="4"/>
  <c r="S36" i="4"/>
  <c r="T36" i="4"/>
  <c r="U36" i="4"/>
  <c r="Q37" i="4"/>
  <c r="R37" i="4"/>
  <c r="S37" i="4"/>
  <c r="T37" i="4"/>
  <c r="U37" i="4"/>
  <c r="Q38" i="4"/>
  <c r="R38" i="4"/>
  <c r="S38" i="4"/>
  <c r="T38" i="4"/>
  <c r="U38" i="4"/>
  <c r="Q39" i="4"/>
  <c r="R39" i="4"/>
  <c r="S39" i="4"/>
  <c r="T39" i="4"/>
  <c r="U39" i="4"/>
  <c r="Q40" i="4"/>
  <c r="R40" i="4"/>
  <c r="S40" i="4"/>
  <c r="T40" i="4"/>
  <c r="U40" i="4"/>
  <c r="Q41" i="4"/>
  <c r="R41" i="4"/>
  <c r="S41" i="4"/>
  <c r="T41" i="4"/>
  <c r="U41" i="4"/>
  <c r="Q42" i="4"/>
  <c r="R42" i="4"/>
  <c r="S42" i="4"/>
  <c r="T42" i="4"/>
  <c r="U42" i="4"/>
  <c r="Q43" i="4"/>
  <c r="R43" i="4"/>
  <c r="S43" i="4"/>
  <c r="T43" i="4"/>
  <c r="U43" i="4"/>
  <c r="Q44" i="4"/>
  <c r="R44" i="4"/>
  <c r="S44" i="4"/>
  <c r="T44" i="4"/>
  <c r="U44" i="4"/>
  <c r="Q45" i="4"/>
  <c r="R45" i="4"/>
  <c r="S45" i="4"/>
  <c r="T45" i="4"/>
  <c r="U45" i="4"/>
  <c r="Q46" i="4"/>
  <c r="R46" i="4"/>
  <c r="S46" i="4"/>
  <c r="T46" i="4"/>
  <c r="U46" i="4"/>
  <c r="Q47" i="4"/>
  <c r="R47" i="4"/>
  <c r="S47" i="4"/>
  <c r="T47" i="4"/>
  <c r="U47" i="4"/>
  <c r="Q48" i="4"/>
  <c r="R48" i="4"/>
  <c r="S48" i="4"/>
  <c r="T48" i="4"/>
  <c r="U48" i="4"/>
  <c r="Q49" i="4"/>
  <c r="R49" i="4"/>
  <c r="S49" i="4"/>
  <c r="T49" i="4"/>
  <c r="U49" i="4"/>
  <c r="Q50" i="4"/>
  <c r="R50" i="4"/>
  <c r="S50" i="4"/>
  <c r="T50" i="4"/>
  <c r="U50" i="4"/>
  <c r="Q51" i="4"/>
  <c r="R51" i="4"/>
  <c r="S51" i="4"/>
  <c r="T51" i="4"/>
  <c r="U51" i="4"/>
  <c r="Q52" i="4"/>
  <c r="R52" i="4"/>
  <c r="S52" i="4"/>
  <c r="T52" i="4"/>
  <c r="U52" i="4"/>
  <c r="Q53" i="4"/>
  <c r="R53" i="4"/>
  <c r="S53" i="4"/>
  <c r="T53" i="4"/>
  <c r="U53" i="4"/>
  <c r="Q54" i="4"/>
  <c r="R54" i="4"/>
  <c r="S54" i="4"/>
  <c r="T54" i="4"/>
  <c r="U54" i="4"/>
  <c r="Q55" i="4"/>
  <c r="R55" i="4"/>
  <c r="S55" i="4"/>
  <c r="T55" i="4"/>
  <c r="U55" i="4"/>
  <c r="Q56" i="4"/>
  <c r="R56" i="4"/>
  <c r="S56" i="4"/>
  <c r="T56" i="4"/>
  <c r="U56" i="4"/>
  <c r="Q5" i="4"/>
  <c r="R5" i="4"/>
  <c r="S5" i="4"/>
  <c r="T5" i="4"/>
  <c r="U5" i="4"/>
  <c r="Q6" i="4"/>
  <c r="R6" i="4"/>
  <c r="S6" i="4"/>
  <c r="T6" i="4"/>
  <c r="U6" i="4"/>
  <c r="Q7" i="4"/>
  <c r="R7" i="4"/>
  <c r="S7" i="4"/>
  <c r="T7" i="4"/>
  <c r="U7" i="4"/>
  <c r="Q8" i="4"/>
  <c r="R8" i="4"/>
  <c r="S8" i="4"/>
  <c r="T8" i="4"/>
  <c r="U8" i="4"/>
  <c r="Q9" i="4"/>
  <c r="R9" i="4"/>
  <c r="S9" i="4"/>
  <c r="T9" i="4"/>
  <c r="U9" i="4"/>
  <c r="Q10" i="4"/>
  <c r="R10" i="4"/>
  <c r="S10" i="4"/>
  <c r="T10" i="4"/>
  <c r="U10" i="4"/>
  <c r="Q11" i="4"/>
  <c r="R11" i="4"/>
  <c r="S11" i="4"/>
  <c r="T11" i="4"/>
  <c r="U11" i="4"/>
  <c r="Q12" i="4"/>
  <c r="R12" i="4"/>
  <c r="S12" i="4"/>
  <c r="T12" i="4"/>
  <c r="U12" i="4"/>
  <c r="Q13" i="4"/>
  <c r="R13" i="4"/>
  <c r="S13" i="4"/>
  <c r="T13" i="4"/>
  <c r="U13" i="4"/>
  <c r="Q14" i="4"/>
  <c r="R14" i="4"/>
  <c r="S14" i="4"/>
  <c r="T14" i="4"/>
  <c r="U14" i="4"/>
  <c r="Q15" i="4"/>
  <c r="R15" i="4"/>
  <c r="S15" i="4"/>
  <c r="T15" i="4"/>
  <c r="U15" i="4"/>
  <c r="Q16" i="4"/>
  <c r="R16" i="4"/>
  <c r="S16" i="4"/>
  <c r="T16" i="4"/>
  <c r="U16" i="4"/>
  <c r="Q17" i="4"/>
  <c r="R17" i="4"/>
  <c r="S17" i="4"/>
  <c r="T17" i="4"/>
  <c r="U17" i="4"/>
  <c r="Q18" i="4"/>
  <c r="R18" i="4"/>
  <c r="S18" i="4"/>
  <c r="T18" i="4"/>
  <c r="U18" i="4"/>
  <c r="Q19" i="4"/>
  <c r="R19" i="4"/>
  <c r="S19" i="4"/>
  <c r="T19" i="4"/>
  <c r="U19" i="4"/>
  <c r="Q20" i="4"/>
  <c r="R20" i="4"/>
  <c r="S20" i="4"/>
  <c r="T20" i="4"/>
  <c r="U20" i="4"/>
  <c r="Q21" i="4"/>
  <c r="R21" i="4"/>
  <c r="S21" i="4"/>
  <c r="T21" i="4"/>
  <c r="U21" i="4"/>
  <c r="Q22" i="4"/>
  <c r="R22" i="4"/>
  <c r="S22" i="4"/>
  <c r="T22" i="4"/>
  <c r="U22" i="4"/>
  <c r="Q23" i="4"/>
  <c r="R23" i="4"/>
  <c r="S23" i="4"/>
  <c r="T23" i="4"/>
  <c r="U23" i="4"/>
  <c r="Q24" i="4"/>
  <c r="R24" i="4"/>
  <c r="S24" i="4"/>
  <c r="T24" i="4"/>
  <c r="U24" i="4"/>
  <c r="Q25" i="4"/>
  <c r="R25" i="4"/>
  <c r="S25" i="4"/>
  <c r="T25" i="4"/>
  <c r="U25" i="4"/>
  <c r="Q26" i="4"/>
  <c r="R26" i="4"/>
  <c r="S26" i="4"/>
  <c r="T26" i="4"/>
  <c r="U26" i="4"/>
  <c r="Q27" i="4"/>
  <c r="R27" i="4"/>
  <c r="S27" i="4"/>
  <c r="T27" i="4"/>
  <c r="U27" i="4"/>
  <c r="Q28" i="4"/>
  <c r="R28" i="4"/>
  <c r="S28" i="4"/>
  <c r="T28" i="4"/>
  <c r="U28" i="4"/>
  <c r="Q29" i="4"/>
  <c r="R29" i="4"/>
  <c r="S29" i="4"/>
  <c r="T29" i="4"/>
  <c r="U29" i="4"/>
  <c r="Q30" i="4"/>
  <c r="R30" i="4"/>
  <c r="S30" i="4"/>
  <c r="T30" i="4"/>
  <c r="U30" i="4"/>
  <c r="C74" i="4"/>
  <c r="D74" i="4"/>
  <c r="E74" i="4"/>
  <c r="AS74" i="4" s="1"/>
  <c r="F74" i="4"/>
  <c r="G74" i="4"/>
  <c r="AT74" i="4" s="1"/>
  <c r="H74" i="4"/>
  <c r="AQ74" i="4" s="1"/>
  <c r="I74" i="4"/>
  <c r="AM74" i="4" s="1"/>
  <c r="J74" i="4"/>
  <c r="AP74" i="4" s="1"/>
  <c r="K74" i="4"/>
  <c r="AU74" i="4" s="1"/>
  <c r="L74" i="4"/>
  <c r="AR74" i="4" s="1"/>
  <c r="M74" i="4"/>
  <c r="AN74" i="4" s="1"/>
  <c r="N74" i="4"/>
  <c r="O74" i="4"/>
  <c r="C75" i="4"/>
  <c r="D75" i="4"/>
  <c r="E75" i="4"/>
  <c r="AS75" i="4" s="1"/>
  <c r="F75" i="4"/>
  <c r="G75" i="4"/>
  <c r="AT75" i="4" s="1"/>
  <c r="H75" i="4"/>
  <c r="AQ75" i="4" s="1"/>
  <c r="I75" i="4"/>
  <c r="AM75" i="4" s="1"/>
  <c r="J75" i="4"/>
  <c r="AP75" i="4" s="1"/>
  <c r="K75" i="4"/>
  <c r="AU75" i="4" s="1"/>
  <c r="L75" i="4"/>
  <c r="AR75" i="4" s="1"/>
  <c r="M75" i="4"/>
  <c r="AN75" i="4" s="1"/>
  <c r="N75" i="4"/>
  <c r="O75" i="4"/>
  <c r="C76" i="4"/>
  <c r="D76" i="4"/>
  <c r="E76" i="4"/>
  <c r="AS76" i="4" s="1"/>
  <c r="F76" i="4"/>
  <c r="G76" i="4"/>
  <c r="AT76" i="4" s="1"/>
  <c r="H76" i="4"/>
  <c r="AQ76" i="4" s="1"/>
  <c r="I76" i="4"/>
  <c r="AM76" i="4" s="1"/>
  <c r="J76" i="4"/>
  <c r="AP76" i="4" s="1"/>
  <c r="K76" i="4"/>
  <c r="AU76" i="4" s="1"/>
  <c r="L76" i="4"/>
  <c r="AR76" i="4" s="1"/>
  <c r="M76" i="4"/>
  <c r="AN76" i="4" s="1"/>
  <c r="N76" i="4"/>
  <c r="O76" i="4"/>
  <c r="C77" i="4"/>
  <c r="D77" i="4"/>
  <c r="E77" i="4"/>
  <c r="AS77" i="4" s="1"/>
  <c r="F77" i="4"/>
  <c r="G77" i="4"/>
  <c r="AT77" i="4" s="1"/>
  <c r="H77" i="4"/>
  <c r="AQ77" i="4" s="1"/>
  <c r="I77" i="4"/>
  <c r="AM77" i="4" s="1"/>
  <c r="J77" i="4"/>
  <c r="AP77" i="4" s="1"/>
  <c r="K77" i="4"/>
  <c r="AU77" i="4" s="1"/>
  <c r="L77" i="4"/>
  <c r="AR77" i="4" s="1"/>
  <c r="M77" i="4"/>
  <c r="AN77" i="4" s="1"/>
  <c r="N77" i="4"/>
  <c r="O77" i="4"/>
  <c r="C78" i="4"/>
  <c r="D78" i="4"/>
  <c r="E78" i="4"/>
  <c r="AS78" i="4" s="1"/>
  <c r="F78" i="4"/>
  <c r="G78" i="4"/>
  <c r="AT78" i="4" s="1"/>
  <c r="H78" i="4"/>
  <c r="AQ78" i="4" s="1"/>
  <c r="I78" i="4"/>
  <c r="AM78" i="4" s="1"/>
  <c r="J78" i="4"/>
  <c r="AP78" i="4" s="1"/>
  <c r="K78" i="4"/>
  <c r="AU78" i="4" s="1"/>
  <c r="L78" i="4"/>
  <c r="AR78" i="4" s="1"/>
  <c r="M78" i="4"/>
  <c r="AN78" i="4" s="1"/>
  <c r="N78" i="4"/>
  <c r="O78" i="4"/>
  <c r="C79" i="4"/>
  <c r="D79" i="4"/>
  <c r="E79" i="4"/>
  <c r="AS79" i="4" s="1"/>
  <c r="F79" i="4"/>
  <c r="G79" i="4"/>
  <c r="AT79" i="4" s="1"/>
  <c r="H79" i="4"/>
  <c r="AQ79" i="4" s="1"/>
  <c r="I79" i="4"/>
  <c r="AM79" i="4" s="1"/>
  <c r="J79" i="4"/>
  <c r="AP79" i="4" s="1"/>
  <c r="K79" i="4"/>
  <c r="AU79" i="4" s="1"/>
  <c r="L79" i="4"/>
  <c r="AR79" i="4" s="1"/>
  <c r="M79" i="4"/>
  <c r="AN79" i="4" s="1"/>
  <c r="N79" i="4"/>
  <c r="O79" i="4"/>
  <c r="C80" i="4"/>
  <c r="D80" i="4"/>
  <c r="E80" i="4"/>
  <c r="AS80" i="4" s="1"/>
  <c r="F80" i="4"/>
  <c r="G80" i="4"/>
  <c r="AT80" i="4" s="1"/>
  <c r="H80" i="4"/>
  <c r="AQ80" i="4" s="1"/>
  <c r="I80" i="4"/>
  <c r="AM80" i="4" s="1"/>
  <c r="J80" i="4"/>
  <c r="AP80" i="4" s="1"/>
  <c r="K80" i="4"/>
  <c r="AU80" i="4" s="1"/>
  <c r="L80" i="4"/>
  <c r="AR80" i="4" s="1"/>
  <c r="AN80" i="4"/>
  <c r="N80" i="4"/>
  <c r="O80" i="4"/>
  <c r="C53" i="4"/>
  <c r="D53" i="4"/>
  <c r="E53" i="4"/>
  <c r="AS53" i="4" s="1"/>
  <c r="F53" i="4"/>
  <c r="G53" i="4"/>
  <c r="AT53" i="4" s="1"/>
  <c r="H53" i="4"/>
  <c r="AQ53" i="4" s="1"/>
  <c r="I53" i="4"/>
  <c r="AM53" i="4" s="1"/>
  <c r="J53" i="4"/>
  <c r="AP53" i="4" s="1"/>
  <c r="K53" i="4"/>
  <c r="AU53" i="4" s="1"/>
  <c r="L53" i="4"/>
  <c r="AR53" i="4" s="1"/>
  <c r="M53" i="4"/>
  <c r="AN53" i="4" s="1"/>
  <c r="N53" i="4"/>
  <c r="O53" i="4"/>
  <c r="C54" i="4"/>
  <c r="D54" i="4"/>
  <c r="E54" i="4"/>
  <c r="AS54" i="4" s="1"/>
  <c r="F54" i="4"/>
  <c r="G54" i="4"/>
  <c r="AT54" i="4" s="1"/>
  <c r="H54" i="4"/>
  <c r="AQ54" i="4" s="1"/>
  <c r="I54" i="4"/>
  <c r="AM54" i="4" s="1"/>
  <c r="J54" i="4"/>
  <c r="AP54" i="4" s="1"/>
  <c r="K54" i="4"/>
  <c r="AU54" i="4" s="1"/>
  <c r="L54" i="4"/>
  <c r="AR54" i="4" s="1"/>
  <c r="M54" i="4"/>
  <c r="AN54" i="4" s="1"/>
  <c r="N54" i="4"/>
  <c r="O54" i="4"/>
  <c r="C55" i="4"/>
  <c r="D55" i="4"/>
  <c r="E55" i="4"/>
  <c r="AS55" i="4" s="1"/>
  <c r="F55" i="4"/>
  <c r="G55" i="4"/>
  <c r="AT55" i="4" s="1"/>
  <c r="H55" i="4"/>
  <c r="AQ55" i="4" s="1"/>
  <c r="I55" i="4"/>
  <c r="AM55" i="4" s="1"/>
  <c r="J55" i="4"/>
  <c r="AP55" i="4" s="1"/>
  <c r="K55" i="4"/>
  <c r="AU55" i="4" s="1"/>
  <c r="L55" i="4"/>
  <c r="AR55" i="4" s="1"/>
  <c r="M55" i="4"/>
  <c r="AN55" i="4" s="1"/>
  <c r="N55" i="4"/>
  <c r="O55" i="4"/>
  <c r="C56" i="4"/>
  <c r="D56" i="4"/>
  <c r="E56" i="4"/>
  <c r="AS56" i="4" s="1"/>
  <c r="F56" i="4"/>
  <c r="G56" i="4"/>
  <c r="AT56" i="4" s="1"/>
  <c r="H56" i="4"/>
  <c r="AQ56" i="4" s="1"/>
  <c r="I56" i="4"/>
  <c r="AM56" i="4" s="1"/>
  <c r="J56" i="4"/>
  <c r="AP56" i="4" s="1"/>
  <c r="K56" i="4"/>
  <c r="AU56" i="4" s="1"/>
  <c r="L56" i="4"/>
  <c r="AR56" i="4" s="1"/>
  <c r="M56" i="4"/>
  <c r="AN56" i="4" s="1"/>
  <c r="N56" i="4"/>
  <c r="O56" i="4"/>
  <c r="C57" i="4"/>
  <c r="D57" i="4"/>
  <c r="E57" i="4"/>
  <c r="AS57" i="4" s="1"/>
  <c r="F57" i="4"/>
  <c r="G57" i="4"/>
  <c r="AT57" i="4" s="1"/>
  <c r="H57" i="4"/>
  <c r="AQ57" i="4" s="1"/>
  <c r="I57" i="4"/>
  <c r="AM57" i="4" s="1"/>
  <c r="J57" i="4"/>
  <c r="AP57" i="4" s="1"/>
  <c r="K57" i="4"/>
  <c r="AU57" i="4" s="1"/>
  <c r="L57" i="4"/>
  <c r="AR57" i="4" s="1"/>
  <c r="M57" i="4"/>
  <c r="AN57" i="4" s="1"/>
  <c r="N57" i="4"/>
  <c r="O57" i="4"/>
  <c r="C58" i="4"/>
  <c r="D58" i="4"/>
  <c r="E58" i="4"/>
  <c r="AS58" i="4" s="1"/>
  <c r="F58" i="4"/>
  <c r="G58" i="4"/>
  <c r="AT58" i="4" s="1"/>
  <c r="H58" i="4"/>
  <c r="AQ58" i="4" s="1"/>
  <c r="I58" i="4"/>
  <c r="AM58" i="4" s="1"/>
  <c r="J58" i="4"/>
  <c r="AP58" i="4" s="1"/>
  <c r="K58" i="4"/>
  <c r="AU58" i="4" s="1"/>
  <c r="L58" i="4"/>
  <c r="AR58" i="4" s="1"/>
  <c r="M58" i="4"/>
  <c r="AN58" i="4" s="1"/>
  <c r="N58" i="4"/>
  <c r="O58" i="4"/>
  <c r="C59" i="4"/>
  <c r="D59" i="4"/>
  <c r="E59" i="4"/>
  <c r="AS59" i="4" s="1"/>
  <c r="F59" i="4"/>
  <c r="G59" i="4"/>
  <c r="AT59" i="4" s="1"/>
  <c r="H59" i="4"/>
  <c r="AQ59" i="4" s="1"/>
  <c r="I59" i="4"/>
  <c r="AM59" i="4" s="1"/>
  <c r="J59" i="4"/>
  <c r="AP59" i="4" s="1"/>
  <c r="K59" i="4"/>
  <c r="AU59" i="4" s="1"/>
  <c r="L59" i="4"/>
  <c r="AR59" i="4" s="1"/>
  <c r="M59" i="4"/>
  <c r="AN59" i="4" s="1"/>
  <c r="N59" i="4"/>
  <c r="O59" i="4"/>
  <c r="C60" i="4"/>
  <c r="D60" i="4"/>
  <c r="E60" i="4"/>
  <c r="AS60" i="4" s="1"/>
  <c r="F60" i="4"/>
  <c r="G60" i="4"/>
  <c r="AT60" i="4" s="1"/>
  <c r="H60" i="4"/>
  <c r="AQ60" i="4" s="1"/>
  <c r="I60" i="4"/>
  <c r="AM60" i="4" s="1"/>
  <c r="J60" i="4"/>
  <c r="AP60" i="4" s="1"/>
  <c r="K60" i="4"/>
  <c r="AU60" i="4" s="1"/>
  <c r="L60" i="4"/>
  <c r="AR60" i="4" s="1"/>
  <c r="M60" i="4"/>
  <c r="AN60" i="4" s="1"/>
  <c r="N60" i="4"/>
  <c r="O60" i="4"/>
  <c r="C61" i="4"/>
  <c r="D61" i="4"/>
  <c r="E61" i="4"/>
  <c r="AS61" i="4" s="1"/>
  <c r="F61" i="4"/>
  <c r="G61" i="4"/>
  <c r="AT61" i="4" s="1"/>
  <c r="H61" i="4"/>
  <c r="AQ61" i="4" s="1"/>
  <c r="I61" i="4"/>
  <c r="AM61" i="4" s="1"/>
  <c r="J61" i="4"/>
  <c r="AP61" i="4" s="1"/>
  <c r="K61" i="4"/>
  <c r="AU61" i="4" s="1"/>
  <c r="L61" i="4"/>
  <c r="AR61" i="4" s="1"/>
  <c r="M61" i="4"/>
  <c r="AN61" i="4" s="1"/>
  <c r="N61" i="4"/>
  <c r="O61" i="4"/>
  <c r="C62" i="4"/>
  <c r="D62" i="4"/>
  <c r="E62" i="4"/>
  <c r="AS62" i="4" s="1"/>
  <c r="F62" i="4"/>
  <c r="G62" i="4"/>
  <c r="AT62" i="4" s="1"/>
  <c r="H62" i="4"/>
  <c r="AQ62" i="4" s="1"/>
  <c r="I62" i="4"/>
  <c r="AM62" i="4" s="1"/>
  <c r="J62" i="4"/>
  <c r="AP62" i="4" s="1"/>
  <c r="K62" i="4"/>
  <c r="AU62" i="4" s="1"/>
  <c r="L62" i="4"/>
  <c r="AR62" i="4" s="1"/>
  <c r="M62" i="4"/>
  <c r="AN62" i="4" s="1"/>
  <c r="N62" i="4"/>
  <c r="O62" i="4"/>
  <c r="C63" i="4"/>
  <c r="D63" i="4"/>
  <c r="E63" i="4"/>
  <c r="AS63" i="4" s="1"/>
  <c r="F63" i="4"/>
  <c r="G63" i="4"/>
  <c r="AT63" i="4" s="1"/>
  <c r="H63" i="4"/>
  <c r="AQ63" i="4" s="1"/>
  <c r="I63" i="4"/>
  <c r="AM63" i="4" s="1"/>
  <c r="J63" i="4"/>
  <c r="AP63" i="4" s="1"/>
  <c r="K63" i="4"/>
  <c r="AU63" i="4" s="1"/>
  <c r="L63" i="4"/>
  <c r="AR63" i="4" s="1"/>
  <c r="M63" i="4"/>
  <c r="AN63" i="4" s="1"/>
  <c r="N63" i="4"/>
  <c r="O63" i="4"/>
  <c r="C64" i="4"/>
  <c r="D64" i="4"/>
  <c r="E64" i="4"/>
  <c r="AS64" i="4" s="1"/>
  <c r="F64" i="4"/>
  <c r="G64" i="4"/>
  <c r="AT64" i="4" s="1"/>
  <c r="H64" i="4"/>
  <c r="AQ64" i="4" s="1"/>
  <c r="I64" i="4"/>
  <c r="AM64" i="4" s="1"/>
  <c r="J64" i="4"/>
  <c r="AP64" i="4" s="1"/>
  <c r="K64" i="4"/>
  <c r="AU64" i="4" s="1"/>
  <c r="L64" i="4"/>
  <c r="AR64" i="4" s="1"/>
  <c r="M64" i="4"/>
  <c r="AN64" i="4" s="1"/>
  <c r="N64" i="4"/>
  <c r="O64" i="4"/>
  <c r="C65" i="4"/>
  <c r="D65" i="4"/>
  <c r="E65" i="4"/>
  <c r="AS65" i="4" s="1"/>
  <c r="F65" i="4"/>
  <c r="G65" i="4"/>
  <c r="AT65" i="4" s="1"/>
  <c r="H65" i="4"/>
  <c r="AQ65" i="4" s="1"/>
  <c r="I65" i="4"/>
  <c r="AM65" i="4" s="1"/>
  <c r="J65" i="4"/>
  <c r="AP65" i="4" s="1"/>
  <c r="K65" i="4"/>
  <c r="AU65" i="4" s="1"/>
  <c r="L65" i="4"/>
  <c r="AR65" i="4" s="1"/>
  <c r="AN65" i="4"/>
  <c r="N65" i="4"/>
  <c r="O65" i="4"/>
  <c r="C66" i="4"/>
  <c r="D66" i="4"/>
  <c r="E66" i="4"/>
  <c r="AS66" i="4" s="1"/>
  <c r="F66" i="4"/>
  <c r="G66" i="4"/>
  <c r="AT66" i="4" s="1"/>
  <c r="H66" i="4"/>
  <c r="AQ66" i="4" s="1"/>
  <c r="I66" i="4"/>
  <c r="AM66" i="4" s="1"/>
  <c r="J66" i="4"/>
  <c r="AP66" i="4" s="1"/>
  <c r="K66" i="4"/>
  <c r="AU66" i="4" s="1"/>
  <c r="L66" i="4"/>
  <c r="AR66" i="4" s="1"/>
  <c r="M66" i="4"/>
  <c r="AN66" i="4" s="1"/>
  <c r="N66" i="4"/>
  <c r="O66" i="4"/>
  <c r="C67" i="4"/>
  <c r="D67" i="4"/>
  <c r="E67" i="4"/>
  <c r="AS67" i="4" s="1"/>
  <c r="F67" i="4"/>
  <c r="G67" i="4"/>
  <c r="AT67" i="4" s="1"/>
  <c r="H67" i="4"/>
  <c r="AQ67" i="4" s="1"/>
  <c r="I67" i="4"/>
  <c r="AM67" i="4" s="1"/>
  <c r="J67" i="4"/>
  <c r="AP67" i="4" s="1"/>
  <c r="K67" i="4"/>
  <c r="AU67" i="4" s="1"/>
  <c r="L67" i="4"/>
  <c r="AR67" i="4" s="1"/>
  <c r="AN67" i="4"/>
  <c r="N67" i="4"/>
  <c r="O67" i="4"/>
  <c r="C68" i="4"/>
  <c r="D68" i="4"/>
  <c r="E68" i="4"/>
  <c r="AS68" i="4" s="1"/>
  <c r="F68" i="4"/>
  <c r="G68" i="4"/>
  <c r="AT68" i="4" s="1"/>
  <c r="H68" i="4"/>
  <c r="AQ68" i="4" s="1"/>
  <c r="I68" i="4"/>
  <c r="AM68" i="4" s="1"/>
  <c r="J68" i="4"/>
  <c r="AP68" i="4" s="1"/>
  <c r="K68" i="4"/>
  <c r="AU68" i="4" s="1"/>
  <c r="L68" i="4"/>
  <c r="AR68" i="4" s="1"/>
  <c r="M68" i="4"/>
  <c r="AN68" i="4" s="1"/>
  <c r="N68" i="4"/>
  <c r="O68" i="4"/>
  <c r="C69" i="4"/>
  <c r="D69" i="4"/>
  <c r="E69" i="4"/>
  <c r="AS69" i="4" s="1"/>
  <c r="F69" i="4"/>
  <c r="G69" i="4"/>
  <c r="AT69" i="4" s="1"/>
  <c r="H69" i="4"/>
  <c r="AQ69" i="4" s="1"/>
  <c r="I69" i="4"/>
  <c r="AM69" i="4" s="1"/>
  <c r="J69" i="4"/>
  <c r="AP69" i="4" s="1"/>
  <c r="K69" i="4"/>
  <c r="AU69" i="4" s="1"/>
  <c r="L69" i="4"/>
  <c r="AR69" i="4" s="1"/>
  <c r="M69" i="4"/>
  <c r="AN69" i="4" s="1"/>
  <c r="N69" i="4"/>
  <c r="O69" i="4"/>
  <c r="C70" i="4"/>
  <c r="D70" i="4"/>
  <c r="E70" i="4"/>
  <c r="AS70" i="4" s="1"/>
  <c r="F70" i="4"/>
  <c r="G70" i="4"/>
  <c r="AT70" i="4" s="1"/>
  <c r="H70" i="4"/>
  <c r="AQ70" i="4" s="1"/>
  <c r="I70" i="4"/>
  <c r="AM70" i="4" s="1"/>
  <c r="J70" i="4"/>
  <c r="AP70" i="4" s="1"/>
  <c r="K70" i="4"/>
  <c r="AU70" i="4" s="1"/>
  <c r="L70" i="4"/>
  <c r="AR70" i="4" s="1"/>
  <c r="M70" i="4"/>
  <c r="AN70" i="4" s="1"/>
  <c r="N70" i="4"/>
  <c r="O70" i="4"/>
  <c r="C71" i="4"/>
  <c r="D71" i="4"/>
  <c r="E71" i="4"/>
  <c r="AS71" i="4" s="1"/>
  <c r="F71" i="4"/>
  <c r="G71" i="4"/>
  <c r="AT71" i="4" s="1"/>
  <c r="H71" i="4"/>
  <c r="AQ71" i="4" s="1"/>
  <c r="I71" i="4"/>
  <c r="AM71" i="4" s="1"/>
  <c r="J71" i="4"/>
  <c r="AP71" i="4" s="1"/>
  <c r="K71" i="4"/>
  <c r="AU71" i="4" s="1"/>
  <c r="L71" i="4"/>
  <c r="AR71" i="4" s="1"/>
  <c r="M71" i="4"/>
  <c r="AN71" i="4" s="1"/>
  <c r="N71" i="4"/>
  <c r="O71" i="4"/>
  <c r="C72" i="4"/>
  <c r="D72" i="4"/>
  <c r="E72" i="4"/>
  <c r="AS72" i="4" s="1"/>
  <c r="F72" i="4"/>
  <c r="G72" i="4"/>
  <c r="AT72" i="4" s="1"/>
  <c r="H72" i="4"/>
  <c r="AQ72" i="4" s="1"/>
  <c r="I72" i="4"/>
  <c r="AM72" i="4" s="1"/>
  <c r="J72" i="4"/>
  <c r="AP72" i="4" s="1"/>
  <c r="K72" i="4"/>
  <c r="AU72" i="4" s="1"/>
  <c r="L72" i="4"/>
  <c r="AR72" i="4" s="1"/>
  <c r="M72" i="4"/>
  <c r="AN72" i="4" s="1"/>
  <c r="N72" i="4"/>
  <c r="O72" i="4"/>
  <c r="C73" i="4"/>
  <c r="D73" i="4"/>
  <c r="E73" i="4"/>
  <c r="AS73" i="4" s="1"/>
  <c r="F73" i="4"/>
  <c r="G73" i="4"/>
  <c r="AT73" i="4" s="1"/>
  <c r="H73" i="4"/>
  <c r="AQ73" i="4" s="1"/>
  <c r="I73" i="4"/>
  <c r="AM73" i="4" s="1"/>
  <c r="J73" i="4"/>
  <c r="AP73" i="4" s="1"/>
  <c r="K73" i="4"/>
  <c r="AU73" i="4" s="1"/>
  <c r="L73" i="4"/>
  <c r="AR73" i="4" s="1"/>
  <c r="M73" i="4"/>
  <c r="AN73" i="4" s="1"/>
  <c r="N73" i="4"/>
  <c r="O73" i="4"/>
  <c r="C30" i="4"/>
  <c r="D30" i="4"/>
  <c r="E30" i="4"/>
  <c r="AS30" i="4" s="1"/>
  <c r="F30" i="4"/>
  <c r="G30" i="4"/>
  <c r="AT30" i="4" s="1"/>
  <c r="H30" i="4"/>
  <c r="AQ30" i="4" s="1"/>
  <c r="I30" i="4"/>
  <c r="AM30" i="4" s="1"/>
  <c r="J30" i="4"/>
  <c r="AP30" i="4" s="1"/>
  <c r="K30" i="4"/>
  <c r="AU30" i="4" s="1"/>
  <c r="L30" i="4"/>
  <c r="AR30" i="4" s="1"/>
  <c r="AN30" i="4"/>
  <c r="N30" i="4"/>
  <c r="O30" i="4"/>
  <c r="C31" i="4"/>
  <c r="D31" i="4"/>
  <c r="E31" i="4"/>
  <c r="AS31" i="4" s="1"/>
  <c r="F31" i="4"/>
  <c r="G31" i="4"/>
  <c r="AT31" i="4" s="1"/>
  <c r="H31" i="4"/>
  <c r="AQ31" i="4" s="1"/>
  <c r="I31" i="4"/>
  <c r="AM31" i="4" s="1"/>
  <c r="J31" i="4"/>
  <c r="AP31" i="4" s="1"/>
  <c r="K31" i="4"/>
  <c r="AU31" i="4" s="1"/>
  <c r="L31" i="4"/>
  <c r="AR31" i="4" s="1"/>
  <c r="AN31" i="4"/>
  <c r="N31" i="4"/>
  <c r="O31" i="4"/>
  <c r="C32" i="4"/>
  <c r="D32" i="4"/>
  <c r="E32" i="4"/>
  <c r="AS32" i="4" s="1"/>
  <c r="F32" i="4"/>
  <c r="G32" i="4"/>
  <c r="AT32" i="4" s="1"/>
  <c r="H32" i="4"/>
  <c r="AQ32" i="4" s="1"/>
  <c r="I32" i="4"/>
  <c r="AM32" i="4" s="1"/>
  <c r="J32" i="4"/>
  <c r="AP32" i="4" s="1"/>
  <c r="K32" i="4"/>
  <c r="AU32" i="4" s="1"/>
  <c r="L32" i="4"/>
  <c r="AR32" i="4" s="1"/>
  <c r="M32" i="4"/>
  <c r="AN32" i="4" s="1"/>
  <c r="N32" i="4"/>
  <c r="O32" i="4"/>
  <c r="C33" i="4"/>
  <c r="D33" i="4"/>
  <c r="E33" i="4"/>
  <c r="AS33" i="4" s="1"/>
  <c r="F33" i="4"/>
  <c r="G33" i="4"/>
  <c r="AT33" i="4" s="1"/>
  <c r="H33" i="4"/>
  <c r="AQ33" i="4" s="1"/>
  <c r="I33" i="4"/>
  <c r="AM33" i="4" s="1"/>
  <c r="J33" i="4"/>
  <c r="AP33" i="4" s="1"/>
  <c r="K33" i="4"/>
  <c r="AU33" i="4" s="1"/>
  <c r="L33" i="4"/>
  <c r="AR33" i="4" s="1"/>
  <c r="M33" i="4"/>
  <c r="AN33" i="4" s="1"/>
  <c r="N33" i="4"/>
  <c r="O33" i="4"/>
  <c r="C34" i="4"/>
  <c r="D34" i="4"/>
  <c r="E34" i="4"/>
  <c r="AS34" i="4" s="1"/>
  <c r="F34" i="4"/>
  <c r="G34" i="4"/>
  <c r="AT34" i="4" s="1"/>
  <c r="H34" i="4"/>
  <c r="AQ34" i="4" s="1"/>
  <c r="I34" i="4"/>
  <c r="AM34" i="4" s="1"/>
  <c r="J34" i="4"/>
  <c r="AP34" i="4" s="1"/>
  <c r="K34" i="4"/>
  <c r="AU34" i="4" s="1"/>
  <c r="L34" i="4"/>
  <c r="AR34" i="4" s="1"/>
  <c r="M34" i="4"/>
  <c r="AN34" i="4" s="1"/>
  <c r="N34" i="4"/>
  <c r="O34" i="4"/>
  <c r="C35" i="4"/>
  <c r="D35" i="4"/>
  <c r="E35" i="4"/>
  <c r="AS35" i="4" s="1"/>
  <c r="F35" i="4"/>
  <c r="G35" i="4"/>
  <c r="AT35" i="4" s="1"/>
  <c r="H35" i="4"/>
  <c r="AQ35" i="4" s="1"/>
  <c r="I35" i="4"/>
  <c r="AM35" i="4" s="1"/>
  <c r="J35" i="4"/>
  <c r="AP35" i="4" s="1"/>
  <c r="K35" i="4"/>
  <c r="AU35" i="4" s="1"/>
  <c r="L35" i="4"/>
  <c r="AR35" i="4" s="1"/>
  <c r="M35" i="4"/>
  <c r="AN35" i="4" s="1"/>
  <c r="N35" i="4"/>
  <c r="O35" i="4"/>
  <c r="C36" i="4"/>
  <c r="D36" i="4"/>
  <c r="E36" i="4"/>
  <c r="AS36" i="4" s="1"/>
  <c r="F36" i="4"/>
  <c r="G36" i="4"/>
  <c r="AT36" i="4" s="1"/>
  <c r="H36" i="4"/>
  <c r="AQ36" i="4" s="1"/>
  <c r="I36" i="4"/>
  <c r="AM36" i="4" s="1"/>
  <c r="J36" i="4"/>
  <c r="AP36" i="4" s="1"/>
  <c r="K36" i="4"/>
  <c r="AU36" i="4" s="1"/>
  <c r="L36" i="4"/>
  <c r="AR36" i="4" s="1"/>
  <c r="AN36" i="4"/>
  <c r="N36" i="4"/>
  <c r="O36" i="4"/>
  <c r="C37" i="4"/>
  <c r="D37" i="4"/>
  <c r="E37" i="4"/>
  <c r="AS37" i="4" s="1"/>
  <c r="F37" i="4"/>
  <c r="G37" i="4"/>
  <c r="AT37" i="4" s="1"/>
  <c r="H37" i="4"/>
  <c r="AQ37" i="4" s="1"/>
  <c r="I37" i="4"/>
  <c r="AM37" i="4" s="1"/>
  <c r="J37" i="4"/>
  <c r="AP37" i="4" s="1"/>
  <c r="K37" i="4"/>
  <c r="AU37" i="4" s="1"/>
  <c r="L37" i="4"/>
  <c r="AR37" i="4" s="1"/>
  <c r="M37" i="4"/>
  <c r="AN37" i="4" s="1"/>
  <c r="N37" i="4"/>
  <c r="O37" i="4"/>
  <c r="C38" i="4"/>
  <c r="D38" i="4"/>
  <c r="E38" i="4"/>
  <c r="AS38" i="4" s="1"/>
  <c r="F38" i="4"/>
  <c r="G38" i="4"/>
  <c r="AT38" i="4" s="1"/>
  <c r="H38" i="4"/>
  <c r="AQ38" i="4" s="1"/>
  <c r="I38" i="4"/>
  <c r="AM38" i="4" s="1"/>
  <c r="J38" i="4"/>
  <c r="AP38" i="4" s="1"/>
  <c r="K38" i="4"/>
  <c r="AU38" i="4" s="1"/>
  <c r="L38" i="4"/>
  <c r="AR38" i="4" s="1"/>
  <c r="M38" i="4"/>
  <c r="AN38" i="4" s="1"/>
  <c r="N38" i="4"/>
  <c r="O38" i="4"/>
  <c r="C39" i="4"/>
  <c r="D39" i="4"/>
  <c r="E39" i="4"/>
  <c r="AS39" i="4" s="1"/>
  <c r="F39" i="4"/>
  <c r="G39" i="4"/>
  <c r="AT39" i="4" s="1"/>
  <c r="H39" i="4"/>
  <c r="AQ39" i="4" s="1"/>
  <c r="I39" i="4"/>
  <c r="AM39" i="4" s="1"/>
  <c r="J39" i="4"/>
  <c r="AP39" i="4" s="1"/>
  <c r="K39" i="4"/>
  <c r="AU39" i="4" s="1"/>
  <c r="L39" i="4"/>
  <c r="AR39" i="4" s="1"/>
  <c r="M39" i="4"/>
  <c r="AN39" i="4" s="1"/>
  <c r="N39" i="4"/>
  <c r="O39" i="4"/>
  <c r="C40" i="4"/>
  <c r="D40" i="4"/>
  <c r="E40" i="4"/>
  <c r="AS40" i="4" s="1"/>
  <c r="F40" i="4"/>
  <c r="G40" i="4"/>
  <c r="AT40" i="4" s="1"/>
  <c r="H40" i="4"/>
  <c r="AQ40" i="4" s="1"/>
  <c r="I40" i="4"/>
  <c r="AM40" i="4" s="1"/>
  <c r="J40" i="4"/>
  <c r="AP40" i="4" s="1"/>
  <c r="K40" i="4"/>
  <c r="AU40" i="4" s="1"/>
  <c r="L40" i="4"/>
  <c r="AR40" i="4" s="1"/>
  <c r="M40" i="4"/>
  <c r="AN40" i="4" s="1"/>
  <c r="N40" i="4"/>
  <c r="O40" i="4"/>
  <c r="C41" i="4"/>
  <c r="D41" i="4"/>
  <c r="E41" i="4"/>
  <c r="AS41" i="4" s="1"/>
  <c r="F41" i="4"/>
  <c r="G41" i="4"/>
  <c r="AT41" i="4" s="1"/>
  <c r="H41" i="4"/>
  <c r="AQ41" i="4" s="1"/>
  <c r="I41" i="4"/>
  <c r="AM41" i="4" s="1"/>
  <c r="J41" i="4"/>
  <c r="AP41" i="4" s="1"/>
  <c r="K41" i="4"/>
  <c r="AU41" i="4" s="1"/>
  <c r="L41" i="4"/>
  <c r="AR41" i="4" s="1"/>
  <c r="AN41" i="4"/>
  <c r="N41" i="4"/>
  <c r="O41" i="4"/>
  <c r="C42" i="4"/>
  <c r="D42" i="4"/>
  <c r="E42" i="4"/>
  <c r="AS42" i="4" s="1"/>
  <c r="F42" i="4"/>
  <c r="G42" i="4"/>
  <c r="AT42" i="4" s="1"/>
  <c r="H42" i="4"/>
  <c r="AQ42" i="4" s="1"/>
  <c r="I42" i="4"/>
  <c r="AM42" i="4" s="1"/>
  <c r="J42" i="4"/>
  <c r="AP42" i="4" s="1"/>
  <c r="K42" i="4"/>
  <c r="AU42" i="4" s="1"/>
  <c r="L42" i="4"/>
  <c r="AR42" i="4" s="1"/>
  <c r="AN42" i="4"/>
  <c r="N42" i="4"/>
  <c r="O42" i="4"/>
  <c r="C43" i="4"/>
  <c r="D43" i="4"/>
  <c r="E43" i="4"/>
  <c r="AS43" i="4" s="1"/>
  <c r="F43" i="4"/>
  <c r="G43" i="4"/>
  <c r="AT43" i="4" s="1"/>
  <c r="H43" i="4"/>
  <c r="AQ43" i="4" s="1"/>
  <c r="I43" i="4"/>
  <c r="AM43" i="4" s="1"/>
  <c r="J43" i="4"/>
  <c r="AP43" i="4" s="1"/>
  <c r="K43" i="4"/>
  <c r="AU43" i="4" s="1"/>
  <c r="L43" i="4"/>
  <c r="AR43" i="4" s="1"/>
  <c r="M43" i="4"/>
  <c r="AN43" i="4" s="1"/>
  <c r="N43" i="4"/>
  <c r="O43" i="4"/>
  <c r="C44" i="4"/>
  <c r="D44" i="4"/>
  <c r="E44" i="4"/>
  <c r="AS44" i="4" s="1"/>
  <c r="F44" i="4"/>
  <c r="G44" i="4"/>
  <c r="AT44" i="4" s="1"/>
  <c r="H44" i="4"/>
  <c r="AQ44" i="4" s="1"/>
  <c r="I44" i="4"/>
  <c r="AM44" i="4" s="1"/>
  <c r="J44" i="4"/>
  <c r="AP44" i="4" s="1"/>
  <c r="K44" i="4"/>
  <c r="AU44" i="4" s="1"/>
  <c r="L44" i="4"/>
  <c r="AR44" i="4" s="1"/>
  <c r="M44" i="4"/>
  <c r="AN44" i="4" s="1"/>
  <c r="N44" i="4"/>
  <c r="O44" i="4"/>
  <c r="C45" i="4"/>
  <c r="D45" i="4"/>
  <c r="E45" i="4"/>
  <c r="AS45" i="4" s="1"/>
  <c r="F45" i="4"/>
  <c r="G45" i="4"/>
  <c r="AT45" i="4" s="1"/>
  <c r="H45" i="4"/>
  <c r="AQ45" i="4" s="1"/>
  <c r="I45" i="4"/>
  <c r="AM45" i="4" s="1"/>
  <c r="J45" i="4"/>
  <c r="AP45" i="4" s="1"/>
  <c r="K45" i="4"/>
  <c r="AU45" i="4" s="1"/>
  <c r="L45" i="4"/>
  <c r="AR45" i="4" s="1"/>
  <c r="M45" i="4"/>
  <c r="AN45" i="4" s="1"/>
  <c r="N45" i="4"/>
  <c r="O45" i="4"/>
  <c r="C46" i="4"/>
  <c r="D46" i="4"/>
  <c r="E46" i="4"/>
  <c r="AS46" i="4" s="1"/>
  <c r="F46" i="4"/>
  <c r="G46" i="4"/>
  <c r="AT46" i="4" s="1"/>
  <c r="H46" i="4"/>
  <c r="AQ46" i="4" s="1"/>
  <c r="I46" i="4"/>
  <c r="AM46" i="4" s="1"/>
  <c r="J46" i="4"/>
  <c r="AP46" i="4" s="1"/>
  <c r="K46" i="4"/>
  <c r="AU46" i="4" s="1"/>
  <c r="L46" i="4"/>
  <c r="AR46" i="4" s="1"/>
  <c r="M46" i="4"/>
  <c r="AN46" i="4" s="1"/>
  <c r="N46" i="4"/>
  <c r="O46" i="4"/>
  <c r="C47" i="4"/>
  <c r="D47" i="4"/>
  <c r="E47" i="4"/>
  <c r="AS47" i="4" s="1"/>
  <c r="F47" i="4"/>
  <c r="G47" i="4"/>
  <c r="AT47" i="4" s="1"/>
  <c r="H47" i="4"/>
  <c r="AQ47" i="4" s="1"/>
  <c r="I47" i="4"/>
  <c r="AM47" i="4" s="1"/>
  <c r="J47" i="4"/>
  <c r="AP47" i="4" s="1"/>
  <c r="K47" i="4"/>
  <c r="AU47" i="4" s="1"/>
  <c r="L47" i="4"/>
  <c r="AR47" i="4" s="1"/>
  <c r="M47" i="4"/>
  <c r="AN47" i="4" s="1"/>
  <c r="N47" i="4"/>
  <c r="O47" i="4"/>
  <c r="C48" i="4"/>
  <c r="D48" i="4"/>
  <c r="E48" i="4"/>
  <c r="AS48" i="4" s="1"/>
  <c r="F48" i="4"/>
  <c r="G48" i="4"/>
  <c r="AT48" i="4" s="1"/>
  <c r="H48" i="4"/>
  <c r="AQ48" i="4" s="1"/>
  <c r="I48" i="4"/>
  <c r="AM48" i="4" s="1"/>
  <c r="J48" i="4"/>
  <c r="AP48" i="4" s="1"/>
  <c r="K48" i="4"/>
  <c r="AU48" i="4" s="1"/>
  <c r="L48" i="4"/>
  <c r="AR48" i="4" s="1"/>
  <c r="M48" i="4"/>
  <c r="AN48" i="4" s="1"/>
  <c r="N48" i="4"/>
  <c r="O48" i="4"/>
  <c r="C49" i="4"/>
  <c r="D49" i="4"/>
  <c r="E49" i="4"/>
  <c r="AS49" i="4" s="1"/>
  <c r="F49" i="4"/>
  <c r="G49" i="4"/>
  <c r="AT49" i="4" s="1"/>
  <c r="H49" i="4"/>
  <c r="AQ49" i="4" s="1"/>
  <c r="I49" i="4"/>
  <c r="AM49" i="4" s="1"/>
  <c r="J49" i="4"/>
  <c r="AP49" i="4" s="1"/>
  <c r="K49" i="4"/>
  <c r="AU49" i="4" s="1"/>
  <c r="L49" i="4"/>
  <c r="AR49" i="4" s="1"/>
  <c r="M49" i="4"/>
  <c r="AN49" i="4" s="1"/>
  <c r="N49" i="4"/>
  <c r="O49" i="4"/>
  <c r="C50" i="4"/>
  <c r="D50" i="4"/>
  <c r="E50" i="4"/>
  <c r="AS50" i="4" s="1"/>
  <c r="F50" i="4"/>
  <c r="G50" i="4"/>
  <c r="AT50" i="4" s="1"/>
  <c r="H50" i="4"/>
  <c r="AQ50" i="4" s="1"/>
  <c r="I50" i="4"/>
  <c r="AM50" i="4" s="1"/>
  <c r="J50" i="4"/>
  <c r="AP50" i="4" s="1"/>
  <c r="K50" i="4"/>
  <c r="AU50" i="4" s="1"/>
  <c r="L50" i="4"/>
  <c r="AR50" i="4" s="1"/>
  <c r="M50" i="4"/>
  <c r="AN50" i="4" s="1"/>
  <c r="N50" i="4"/>
  <c r="O50" i="4"/>
  <c r="C51" i="4"/>
  <c r="D51" i="4"/>
  <c r="E51" i="4"/>
  <c r="AS51" i="4" s="1"/>
  <c r="F51" i="4"/>
  <c r="G51" i="4"/>
  <c r="AT51" i="4" s="1"/>
  <c r="H51" i="4"/>
  <c r="AQ51" i="4" s="1"/>
  <c r="I51" i="4"/>
  <c r="AM51" i="4" s="1"/>
  <c r="J51" i="4"/>
  <c r="AP51" i="4" s="1"/>
  <c r="K51" i="4"/>
  <c r="AU51" i="4" s="1"/>
  <c r="L51" i="4"/>
  <c r="AR51" i="4" s="1"/>
  <c r="M51" i="4"/>
  <c r="AN51" i="4" s="1"/>
  <c r="N51" i="4"/>
  <c r="O51" i="4"/>
  <c r="C52" i="4"/>
  <c r="D52" i="4"/>
  <c r="E52" i="4"/>
  <c r="AS52" i="4" s="1"/>
  <c r="F52" i="4"/>
  <c r="G52" i="4"/>
  <c r="AT52" i="4" s="1"/>
  <c r="H52" i="4"/>
  <c r="AQ52" i="4" s="1"/>
  <c r="I52" i="4"/>
  <c r="AM52" i="4" s="1"/>
  <c r="J52" i="4"/>
  <c r="AP52" i="4" s="1"/>
  <c r="K52" i="4"/>
  <c r="AU52" i="4" s="1"/>
  <c r="L52" i="4"/>
  <c r="AR52" i="4" s="1"/>
  <c r="M52" i="4"/>
  <c r="AN52" i="4" s="1"/>
  <c r="N52" i="4"/>
  <c r="O52" i="4"/>
  <c r="C5" i="4"/>
  <c r="D5" i="4"/>
  <c r="E5" i="4"/>
  <c r="AS5" i="4" s="1"/>
  <c r="F5" i="4"/>
  <c r="G5" i="4"/>
  <c r="AT5" i="4" s="1"/>
  <c r="H5" i="4"/>
  <c r="AQ5" i="4" s="1"/>
  <c r="I5" i="4"/>
  <c r="AM5" i="4" s="1"/>
  <c r="J5" i="4"/>
  <c r="AP5" i="4" s="1"/>
  <c r="K5" i="4"/>
  <c r="AU5" i="4" s="1"/>
  <c r="L5" i="4"/>
  <c r="AR5" i="4" s="1"/>
  <c r="M5" i="4"/>
  <c r="AN5" i="4" s="1"/>
  <c r="N5" i="4"/>
  <c r="O5" i="4"/>
  <c r="C6" i="4"/>
  <c r="D6" i="4"/>
  <c r="E6" i="4"/>
  <c r="AS6" i="4" s="1"/>
  <c r="F6" i="4"/>
  <c r="G6" i="4"/>
  <c r="AT6" i="4" s="1"/>
  <c r="H6" i="4"/>
  <c r="AQ6" i="4" s="1"/>
  <c r="I6" i="4"/>
  <c r="AM6" i="4" s="1"/>
  <c r="J6" i="4"/>
  <c r="AP6" i="4" s="1"/>
  <c r="K6" i="4"/>
  <c r="AU6" i="4" s="1"/>
  <c r="L6" i="4"/>
  <c r="AR6" i="4" s="1"/>
  <c r="AN6" i="4"/>
  <c r="N6" i="4"/>
  <c r="O6" i="4"/>
  <c r="C7" i="4"/>
  <c r="D7" i="4"/>
  <c r="E7" i="4"/>
  <c r="AS7" i="4" s="1"/>
  <c r="F7" i="4"/>
  <c r="G7" i="4"/>
  <c r="AT7" i="4" s="1"/>
  <c r="H7" i="4"/>
  <c r="AQ7" i="4" s="1"/>
  <c r="I7" i="4"/>
  <c r="AM7" i="4" s="1"/>
  <c r="J7" i="4"/>
  <c r="AP7" i="4" s="1"/>
  <c r="K7" i="4"/>
  <c r="AU7" i="4" s="1"/>
  <c r="L7" i="4"/>
  <c r="AR7" i="4" s="1"/>
  <c r="M7" i="4"/>
  <c r="AN7" i="4" s="1"/>
  <c r="N7" i="4"/>
  <c r="O7" i="4"/>
  <c r="C8" i="4"/>
  <c r="D8" i="4"/>
  <c r="E8" i="4"/>
  <c r="AS8" i="4" s="1"/>
  <c r="F8" i="4"/>
  <c r="G8" i="4"/>
  <c r="AT8" i="4" s="1"/>
  <c r="H8" i="4"/>
  <c r="AQ8" i="4" s="1"/>
  <c r="I8" i="4"/>
  <c r="AM8" i="4" s="1"/>
  <c r="J8" i="4"/>
  <c r="AP8" i="4" s="1"/>
  <c r="K8" i="4"/>
  <c r="AU8" i="4" s="1"/>
  <c r="L8" i="4"/>
  <c r="AR8" i="4" s="1"/>
  <c r="AN8" i="4"/>
  <c r="N8" i="4"/>
  <c r="O8" i="4"/>
  <c r="C9" i="4"/>
  <c r="D9" i="4"/>
  <c r="E9" i="4"/>
  <c r="AS9" i="4" s="1"/>
  <c r="F9" i="4"/>
  <c r="G9" i="4"/>
  <c r="AT9" i="4" s="1"/>
  <c r="H9" i="4"/>
  <c r="AQ9" i="4" s="1"/>
  <c r="I9" i="4"/>
  <c r="AM9" i="4" s="1"/>
  <c r="J9" i="4"/>
  <c r="AP9" i="4" s="1"/>
  <c r="K9" i="4"/>
  <c r="AU9" i="4" s="1"/>
  <c r="L9" i="4"/>
  <c r="AR9" i="4" s="1"/>
  <c r="AN9" i="4"/>
  <c r="N9" i="4"/>
  <c r="O9" i="4"/>
  <c r="C10" i="4"/>
  <c r="D10" i="4"/>
  <c r="E10" i="4"/>
  <c r="AS10" i="4" s="1"/>
  <c r="F10" i="4"/>
  <c r="G10" i="4"/>
  <c r="AT10" i="4" s="1"/>
  <c r="H10" i="4"/>
  <c r="AQ10" i="4" s="1"/>
  <c r="I10" i="4"/>
  <c r="AM10" i="4" s="1"/>
  <c r="J10" i="4"/>
  <c r="AP10" i="4" s="1"/>
  <c r="K10" i="4"/>
  <c r="AU10" i="4" s="1"/>
  <c r="L10" i="4"/>
  <c r="AR10" i="4" s="1"/>
  <c r="AN10" i="4"/>
  <c r="N10" i="4"/>
  <c r="O10" i="4"/>
  <c r="C11" i="4"/>
  <c r="D11" i="4"/>
  <c r="E11" i="4"/>
  <c r="AS11" i="4" s="1"/>
  <c r="F11" i="4"/>
  <c r="G11" i="4"/>
  <c r="AT11" i="4" s="1"/>
  <c r="H11" i="4"/>
  <c r="AQ11" i="4" s="1"/>
  <c r="I11" i="4"/>
  <c r="AM11" i="4" s="1"/>
  <c r="J11" i="4"/>
  <c r="AP11" i="4" s="1"/>
  <c r="K11" i="4"/>
  <c r="AU11" i="4" s="1"/>
  <c r="L11" i="4"/>
  <c r="AR11" i="4" s="1"/>
  <c r="M11" i="4"/>
  <c r="AN11" i="4" s="1"/>
  <c r="N11" i="4"/>
  <c r="O11" i="4"/>
  <c r="C12" i="4"/>
  <c r="D12" i="4"/>
  <c r="E12" i="4"/>
  <c r="AS12" i="4" s="1"/>
  <c r="F12" i="4"/>
  <c r="G12" i="4"/>
  <c r="AT12" i="4" s="1"/>
  <c r="H12" i="4"/>
  <c r="AQ12" i="4" s="1"/>
  <c r="I12" i="4"/>
  <c r="AM12" i="4" s="1"/>
  <c r="J12" i="4"/>
  <c r="AP12" i="4" s="1"/>
  <c r="K12" i="4"/>
  <c r="AU12" i="4" s="1"/>
  <c r="L12" i="4"/>
  <c r="AR12" i="4" s="1"/>
  <c r="AN12" i="4"/>
  <c r="N12" i="4"/>
  <c r="O12" i="4"/>
  <c r="C13" i="4"/>
  <c r="D13" i="4"/>
  <c r="E13" i="4"/>
  <c r="AS13" i="4" s="1"/>
  <c r="F13" i="4"/>
  <c r="G13" i="4"/>
  <c r="AT13" i="4" s="1"/>
  <c r="H13" i="4"/>
  <c r="AQ13" i="4" s="1"/>
  <c r="I13" i="4"/>
  <c r="AM13" i="4" s="1"/>
  <c r="J13" i="4"/>
  <c r="AP13" i="4" s="1"/>
  <c r="K13" i="4"/>
  <c r="AU13" i="4" s="1"/>
  <c r="L13" i="4"/>
  <c r="AR13" i="4" s="1"/>
  <c r="AN13" i="4"/>
  <c r="N13" i="4"/>
  <c r="O13" i="4"/>
  <c r="C14" i="4"/>
  <c r="D14" i="4"/>
  <c r="E14" i="4"/>
  <c r="AS14" i="4" s="1"/>
  <c r="F14" i="4"/>
  <c r="G14" i="4"/>
  <c r="AT14" i="4" s="1"/>
  <c r="H14" i="4"/>
  <c r="AQ14" i="4" s="1"/>
  <c r="I14" i="4"/>
  <c r="AM14" i="4" s="1"/>
  <c r="J14" i="4"/>
  <c r="AP14" i="4" s="1"/>
  <c r="K14" i="4"/>
  <c r="AU14" i="4" s="1"/>
  <c r="L14" i="4"/>
  <c r="AR14" i="4" s="1"/>
  <c r="AN14" i="4"/>
  <c r="N14" i="4"/>
  <c r="O14" i="4"/>
  <c r="C15" i="4"/>
  <c r="D15" i="4"/>
  <c r="E15" i="4"/>
  <c r="AS15" i="4" s="1"/>
  <c r="F15" i="4"/>
  <c r="G15" i="4"/>
  <c r="AT15" i="4" s="1"/>
  <c r="H15" i="4"/>
  <c r="AQ15" i="4" s="1"/>
  <c r="I15" i="4"/>
  <c r="AM15" i="4" s="1"/>
  <c r="J15" i="4"/>
  <c r="AP15" i="4" s="1"/>
  <c r="K15" i="4"/>
  <c r="AU15" i="4" s="1"/>
  <c r="L15" i="4"/>
  <c r="AR15" i="4" s="1"/>
  <c r="M15" i="4"/>
  <c r="AN15" i="4" s="1"/>
  <c r="N15" i="4"/>
  <c r="O15" i="4"/>
  <c r="C16" i="4"/>
  <c r="D16" i="4"/>
  <c r="E16" i="4"/>
  <c r="AS16" i="4" s="1"/>
  <c r="F16" i="4"/>
  <c r="G16" i="4"/>
  <c r="AT16" i="4" s="1"/>
  <c r="H16" i="4"/>
  <c r="AQ16" i="4" s="1"/>
  <c r="I16" i="4"/>
  <c r="AM16" i="4" s="1"/>
  <c r="J16" i="4"/>
  <c r="AP16" i="4" s="1"/>
  <c r="K16" i="4"/>
  <c r="AU16" i="4" s="1"/>
  <c r="L16" i="4"/>
  <c r="AR16" i="4" s="1"/>
  <c r="M16" i="4"/>
  <c r="AN16" i="4" s="1"/>
  <c r="N16" i="4"/>
  <c r="O16" i="4"/>
  <c r="C17" i="4"/>
  <c r="D17" i="4"/>
  <c r="E17" i="4"/>
  <c r="AS17" i="4" s="1"/>
  <c r="F17" i="4"/>
  <c r="G17" i="4"/>
  <c r="AT17" i="4" s="1"/>
  <c r="H17" i="4"/>
  <c r="AQ17" i="4" s="1"/>
  <c r="I17" i="4"/>
  <c r="AM17" i="4" s="1"/>
  <c r="J17" i="4"/>
  <c r="AP17" i="4" s="1"/>
  <c r="K17" i="4"/>
  <c r="AU17" i="4" s="1"/>
  <c r="L17" i="4"/>
  <c r="AR17" i="4" s="1"/>
  <c r="AN17" i="4"/>
  <c r="N17" i="4"/>
  <c r="O17" i="4"/>
  <c r="C18" i="4"/>
  <c r="D18" i="4"/>
  <c r="E18" i="4"/>
  <c r="AS18" i="4" s="1"/>
  <c r="F18" i="4"/>
  <c r="G18" i="4"/>
  <c r="AT18" i="4" s="1"/>
  <c r="H18" i="4"/>
  <c r="AQ18" i="4" s="1"/>
  <c r="I18" i="4"/>
  <c r="AM18" i="4" s="1"/>
  <c r="J18" i="4"/>
  <c r="AP18" i="4" s="1"/>
  <c r="K18" i="4"/>
  <c r="AU18" i="4" s="1"/>
  <c r="L18" i="4"/>
  <c r="AR18" i="4" s="1"/>
  <c r="AN18" i="4"/>
  <c r="N18" i="4"/>
  <c r="O18" i="4"/>
  <c r="C19" i="4"/>
  <c r="D19" i="4"/>
  <c r="E19" i="4"/>
  <c r="AS19" i="4" s="1"/>
  <c r="F19" i="4"/>
  <c r="G19" i="4"/>
  <c r="AT19" i="4" s="1"/>
  <c r="H19" i="4"/>
  <c r="AQ19" i="4" s="1"/>
  <c r="I19" i="4"/>
  <c r="AM19" i="4" s="1"/>
  <c r="J19" i="4"/>
  <c r="AP19" i="4" s="1"/>
  <c r="K19" i="4"/>
  <c r="AU19" i="4" s="1"/>
  <c r="L19" i="4"/>
  <c r="AR19" i="4" s="1"/>
  <c r="AN19" i="4"/>
  <c r="N19" i="4"/>
  <c r="O19" i="4"/>
  <c r="C20" i="4"/>
  <c r="D20" i="4"/>
  <c r="E20" i="4"/>
  <c r="AS20" i="4" s="1"/>
  <c r="F20" i="4"/>
  <c r="G20" i="4"/>
  <c r="AT20" i="4" s="1"/>
  <c r="H20" i="4"/>
  <c r="AQ20" i="4" s="1"/>
  <c r="I20" i="4"/>
  <c r="AM20" i="4" s="1"/>
  <c r="J20" i="4"/>
  <c r="AP20" i="4" s="1"/>
  <c r="K20" i="4"/>
  <c r="AU20" i="4" s="1"/>
  <c r="L20" i="4"/>
  <c r="AR20" i="4" s="1"/>
  <c r="AN20" i="4"/>
  <c r="N20" i="4"/>
  <c r="O20" i="4"/>
  <c r="C21" i="4"/>
  <c r="D21" i="4"/>
  <c r="E21" i="4"/>
  <c r="AS21" i="4" s="1"/>
  <c r="F21" i="4"/>
  <c r="G21" i="4"/>
  <c r="AT21" i="4" s="1"/>
  <c r="H21" i="4"/>
  <c r="AQ21" i="4" s="1"/>
  <c r="I21" i="4"/>
  <c r="AM21" i="4" s="1"/>
  <c r="J21" i="4"/>
  <c r="AP21" i="4" s="1"/>
  <c r="K21" i="4"/>
  <c r="AU21" i="4" s="1"/>
  <c r="L21" i="4"/>
  <c r="AR21" i="4" s="1"/>
  <c r="M21" i="4"/>
  <c r="AN21" i="4" s="1"/>
  <c r="N21" i="4"/>
  <c r="O21" i="4"/>
  <c r="C22" i="4"/>
  <c r="D22" i="4"/>
  <c r="E22" i="4"/>
  <c r="AS22" i="4" s="1"/>
  <c r="F22" i="4"/>
  <c r="G22" i="4"/>
  <c r="AT22" i="4" s="1"/>
  <c r="H22" i="4"/>
  <c r="AQ22" i="4" s="1"/>
  <c r="I22" i="4"/>
  <c r="AM22" i="4" s="1"/>
  <c r="J22" i="4"/>
  <c r="AP22" i="4" s="1"/>
  <c r="K22" i="4"/>
  <c r="AU22" i="4" s="1"/>
  <c r="L22" i="4"/>
  <c r="AR22" i="4" s="1"/>
  <c r="M22" i="4"/>
  <c r="AN22" i="4" s="1"/>
  <c r="N22" i="4"/>
  <c r="O22" i="4"/>
  <c r="C23" i="4"/>
  <c r="D23" i="4"/>
  <c r="E23" i="4"/>
  <c r="AS23" i="4" s="1"/>
  <c r="F23" i="4"/>
  <c r="G23" i="4"/>
  <c r="AT23" i="4" s="1"/>
  <c r="H23" i="4"/>
  <c r="AQ23" i="4" s="1"/>
  <c r="I23" i="4"/>
  <c r="AM23" i="4" s="1"/>
  <c r="J23" i="4"/>
  <c r="AP23" i="4" s="1"/>
  <c r="K23" i="4"/>
  <c r="AU23" i="4" s="1"/>
  <c r="L23" i="4"/>
  <c r="AR23" i="4" s="1"/>
  <c r="M23" i="4"/>
  <c r="AN23" i="4" s="1"/>
  <c r="N23" i="4"/>
  <c r="O23" i="4"/>
  <c r="C24" i="4"/>
  <c r="D24" i="4"/>
  <c r="E24" i="4"/>
  <c r="AS24" i="4" s="1"/>
  <c r="F24" i="4"/>
  <c r="G24" i="4"/>
  <c r="AT24" i="4" s="1"/>
  <c r="H24" i="4"/>
  <c r="AQ24" i="4" s="1"/>
  <c r="I24" i="4"/>
  <c r="AM24" i="4" s="1"/>
  <c r="J24" i="4"/>
  <c r="AP24" i="4" s="1"/>
  <c r="K24" i="4"/>
  <c r="AU24" i="4" s="1"/>
  <c r="L24" i="4"/>
  <c r="AR24" i="4" s="1"/>
  <c r="M24" i="4"/>
  <c r="AN24" i="4" s="1"/>
  <c r="N24" i="4"/>
  <c r="O24" i="4"/>
  <c r="C25" i="4"/>
  <c r="D25" i="4"/>
  <c r="E25" i="4"/>
  <c r="AS25" i="4" s="1"/>
  <c r="F25" i="4"/>
  <c r="G25" i="4"/>
  <c r="AT25" i="4" s="1"/>
  <c r="H25" i="4"/>
  <c r="AQ25" i="4" s="1"/>
  <c r="I25" i="4"/>
  <c r="AM25" i="4" s="1"/>
  <c r="J25" i="4"/>
  <c r="AP25" i="4" s="1"/>
  <c r="K25" i="4"/>
  <c r="AU25" i="4" s="1"/>
  <c r="L25" i="4"/>
  <c r="AR25" i="4" s="1"/>
  <c r="M25" i="4"/>
  <c r="AN25" i="4" s="1"/>
  <c r="N25" i="4"/>
  <c r="O25" i="4"/>
  <c r="C26" i="4"/>
  <c r="D26" i="4"/>
  <c r="E26" i="4"/>
  <c r="AS26" i="4" s="1"/>
  <c r="F26" i="4"/>
  <c r="G26" i="4"/>
  <c r="AT26" i="4" s="1"/>
  <c r="H26" i="4"/>
  <c r="AQ26" i="4" s="1"/>
  <c r="I26" i="4"/>
  <c r="AM26" i="4" s="1"/>
  <c r="J26" i="4"/>
  <c r="AP26" i="4" s="1"/>
  <c r="K26" i="4"/>
  <c r="AU26" i="4" s="1"/>
  <c r="L26" i="4"/>
  <c r="AR26" i="4" s="1"/>
  <c r="M26" i="4"/>
  <c r="AN26" i="4" s="1"/>
  <c r="N26" i="4"/>
  <c r="O26" i="4"/>
  <c r="C27" i="4"/>
  <c r="D27" i="4"/>
  <c r="E27" i="4"/>
  <c r="AS27" i="4" s="1"/>
  <c r="F27" i="4"/>
  <c r="G27" i="4"/>
  <c r="AT27" i="4" s="1"/>
  <c r="H27" i="4"/>
  <c r="AQ27" i="4" s="1"/>
  <c r="I27" i="4"/>
  <c r="AM27" i="4" s="1"/>
  <c r="J27" i="4"/>
  <c r="AP27" i="4" s="1"/>
  <c r="K27" i="4"/>
  <c r="AU27" i="4" s="1"/>
  <c r="L27" i="4"/>
  <c r="AR27" i="4" s="1"/>
  <c r="AN27" i="4"/>
  <c r="N27" i="4"/>
  <c r="O27" i="4"/>
  <c r="C28" i="4"/>
  <c r="D28" i="4"/>
  <c r="E28" i="4"/>
  <c r="AS28" i="4" s="1"/>
  <c r="F28" i="4"/>
  <c r="G28" i="4"/>
  <c r="AT28" i="4" s="1"/>
  <c r="H28" i="4"/>
  <c r="AQ28" i="4" s="1"/>
  <c r="I28" i="4"/>
  <c r="AM28" i="4" s="1"/>
  <c r="J28" i="4"/>
  <c r="AP28" i="4" s="1"/>
  <c r="K28" i="4"/>
  <c r="AU28" i="4" s="1"/>
  <c r="L28" i="4"/>
  <c r="AR28" i="4" s="1"/>
  <c r="M28" i="4"/>
  <c r="AN28" i="4" s="1"/>
  <c r="N28" i="4"/>
  <c r="O28" i="4"/>
  <c r="C29" i="4"/>
  <c r="D29" i="4"/>
  <c r="E29" i="4"/>
  <c r="AS29" i="4" s="1"/>
  <c r="F29" i="4"/>
  <c r="G29" i="4"/>
  <c r="AT29" i="4" s="1"/>
  <c r="H29" i="4"/>
  <c r="AQ29" i="4" s="1"/>
  <c r="I29" i="4"/>
  <c r="AM29" i="4" s="1"/>
  <c r="J29" i="4"/>
  <c r="AP29" i="4" s="1"/>
  <c r="K29" i="4"/>
  <c r="AU29" i="4" s="1"/>
  <c r="L29" i="4"/>
  <c r="AR29" i="4" s="1"/>
  <c r="M29" i="4"/>
  <c r="AN29" i="4" s="1"/>
  <c r="N29" i="4"/>
  <c r="O29" i="4"/>
  <c r="AO28" i="4" l="1"/>
  <c r="AO24" i="4"/>
  <c r="AO20" i="4"/>
  <c r="AO16" i="4"/>
  <c r="AO12" i="4"/>
  <c r="AO8" i="4"/>
  <c r="AO52" i="4"/>
  <c r="AO48" i="4"/>
  <c r="AO44" i="4"/>
  <c r="AO40" i="4"/>
  <c r="AO36" i="4"/>
  <c r="AO32" i="4"/>
  <c r="AO72" i="4"/>
  <c r="AO68" i="4"/>
  <c r="AO64" i="4"/>
  <c r="AO60" i="4"/>
  <c r="AO56" i="4"/>
  <c r="AO80" i="4"/>
  <c r="AO76" i="4"/>
  <c r="AO27" i="4"/>
  <c r="AO15" i="4"/>
  <c r="AO11" i="4"/>
  <c r="AO7" i="4"/>
  <c r="AO51" i="4"/>
  <c r="AO47" i="4"/>
  <c r="AO43" i="4"/>
  <c r="AO39" i="4"/>
  <c r="AO35" i="4"/>
  <c r="AO31" i="4"/>
  <c r="AO71" i="4"/>
  <c r="AO67" i="4"/>
  <c r="AO63" i="4"/>
  <c r="AO59" i="4"/>
  <c r="AO55" i="4"/>
  <c r="AO79" i="4"/>
  <c r="AO75" i="4"/>
  <c r="AO26" i="4"/>
  <c r="AO22" i="4"/>
  <c r="AO14" i="4"/>
  <c r="AO10" i="4"/>
  <c r="AO6" i="4"/>
  <c r="AO50" i="4"/>
  <c r="AO46" i="4"/>
  <c r="AO42" i="4"/>
  <c r="AO38" i="4"/>
  <c r="AO34" i="4"/>
  <c r="AO30" i="4"/>
  <c r="AO70" i="4"/>
  <c r="AO66" i="4"/>
  <c r="AO62" i="4"/>
  <c r="AO58" i="4"/>
  <c r="AO54" i="4"/>
  <c r="AO78" i="4"/>
  <c r="AO74" i="4"/>
  <c r="AO23" i="4"/>
  <c r="AO19" i="4"/>
  <c r="AO18" i="4"/>
  <c r="AO29" i="4"/>
  <c r="AO25" i="4"/>
  <c r="AO21" i="4"/>
  <c r="AO17" i="4"/>
  <c r="AO13" i="4"/>
  <c r="AO9" i="4"/>
  <c r="AO5" i="4"/>
  <c r="AO49" i="4"/>
  <c r="AO45" i="4"/>
  <c r="AO41" i="4"/>
  <c r="AO37" i="4"/>
  <c r="AO33" i="4"/>
  <c r="AO73" i="4"/>
  <c r="AO69" i="4"/>
  <c r="AO65" i="4"/>
  <c r="AO61" i="4"/>
  <c r="AO57" i="4"/>
  <c r="AO53" i="4"/>
  <c r="AO77" i="4"/>
  <c r="AN87" i="4"/>
  <c r="AM87" i="4"/>
  <c r="E4" i="4"/>
  <c r="AS4" i="4" s="1"/>
  <c r="D4" i="4" l="1"/>
  <c r="AM84" i="4" l="1"/>
  <c r="AN84" i="4"/>
  <c r="AN83" i="4" l="1"/>
  <c r="AN82" i="4"/>
  <c r="AM83" i="4"/>
  <c r="AM82" i="4"/>
  <c r="AN85" i="4"/>
  <c r="AM81" i="4"/>
  <c r="AN81" i="4"/>
  <c r="AM85" i="4"/>
  <c r="AN88" i="4" l="1"/>
  <c r="AM88" i="4"/>
  <c r="Q88" i="4" l="1"/>
  <c r="R88" i="4"/>
  <c r="S88" i="4"/>
  <c r="T88" i="4"/>
  <c r="U88" i="4"/>
  <c r="C88" i="4"/>
  <c r="E88" i="4"/>
  <c r="AS88" i="4" s="1"/>
  <c r="F88" i="4"/>
  <c r="G88" i="4"/>
  <c r="AT88" i="4" s="1"/>
  <c r="H88" i="4"/>
  <c r="AQ88" i="4" s="1"/>
  <c r="I88" i="4"/>
  <c r="J88" i="4"/>
  <c r="AP88" i="4" s="1"/>
  <c r="K88" i="4"/>
  <c r="AU88" i="4" s="1"/>
  <c r="L88" i="4"/>
  <c r="AR88" i="4" s="1"/>
  <c r="M88" i="4"/>
  <c r="N88" i="4"/>
  <c r="O88" i="4"/>
  <c r="O4" i="4"/>
  <c r="N4" i="4"/>
  <c r="M4" i="4"/>
  <c r="L4" i="4"/>
  <c r="AR4" i="4" s="1"/>
  <c r="K4" i="4"/>
  <c r="AU4" i="4" s="1"/>
  <c r="J4" i="4"/>
  <c r="AP4" i="4" s="1"/>
  <c r="I4" i="4"/>
  <c r="H4" i="4"/>
  <c r="AQ4" i="4" s="1"/>
  <c r="G4" i="4"/>
  <c r="AT4" i="4" s="1"/>
  <c r="F4" i="4"/>
  <c r="AO4" i="4" s="1"/>
  <c r="AM4" i="4" l="1"/>
  <c r="AM86" i="4" s="1"/>
  <c r="AN4" i="4"/>
  <c r="AN86" i="4" s="1"/>
  <c r="AO88" i="4"/>
  <c r="W88" i="4"/>
  <c r="F86" i="4"/>
  <c r="J86" i="4"/>
  <c r="AP86" i="4" s="1"/>
  <c r="N86" i="4"/>
  <c r="H86" i="4"/>
  <c r="AQ86" i="4" s="1"/>
  <c r="L86" i="4"/>
  <c r="AR86" i="4" s="1"/>
  <c r="L87" i="4"/>
  <c r="AR87" i="4" s="1"/>
  <c r="C87" i="4"/>
  <c r="U87" i="4"/>
  <c r="O87" i="4"/>
  <c r="G87" i="4"/>
  <c r="AT87" i="4" s="1"/>
  <c r="T87" i="4"/>
  <c r="N87" i="4"/>
  <c r="J87" i="4"/>
  <c r="AP87" i="4" s="1"/>
  <c r="F87" i="4"/>
  <c r="S87" i="4"/>
  <c r="H87" i="4"/>
  <c r="AQ87" i="4" s="1"/>
  <c r="Q87" i="4"/>
  <c r="I86" i="4"/>
  <c r="M86" i="4"/>
  <c r="K87" i="4"/>
  <c r="AU87" i="4" s="1"/>
  <c r="G86" i="4"/>
  <c r="AT86" i="4" s="1"/>
  <c r="K86" i="4"/>
  <c r="AU86" i="4" s="1"/>
  <c r="O86" i="4"/>
  <c r="M87" i="4"/>
  <c r="I87" i="4"/>
  <c r="E87" i="4"/>
  <c r="AS87" i="4" s="1"/>
  <c r="R87" i="4"/>
  <c r="W77" i="4"/>
  <c r="W49" i="4"/>
  <c r="W65" i="4"/>
  <c r="W33" i="4"/>
  <c r="W17" i="4"/>
  <c r="W53" i="4"/>
  <c r="W37" i="4"/>
  <c r="W73" i="4"/>
  <c r="W25" i="4"/>
  <c r="W75" i="4"/>
  <c r="W71" i="4"/>
  <c r="W56" i="4"/>
  <c r="W34" i="4"/>
  <c r="W61" i="4"/>
  <c r="W57" i="4"/>
  <c r="W45" i="4"/>
  <c r="W41" i="4"/>
  <c r="W29" i="4"/>
  <c r="W14" i="4"/>
  <c r="W78" i="4"/>
  <c r="W59" i="4"/>
  <c r="W40" i="4"/>
  <c r="W18" i="4"/>
  <c r="W69" i="4"/>
  <c r="W21" i="4"/>
  <c r="W66" i="4"/>
  <c r="W43" i="4"/>
  <c r="W24" i="4"/>
  <c r="W72" i="4"/>
  <c r="W50" i="4"/>
  <c r="W27" i="4"/>
  <c r="W68" i="4"/>
  <c r="W62" i="4"/>
  <c r="W55" i="4"/>
  <c r="W52" i="4"/>
  <c r="W46" i="4"/>
  <c r="W39" i="4"/>
  <c r="W36" i="4"/>
  <c r="W30" i="4"/>
  <c r="W23" i="4"/>
  <c r="W20" i="4"/>
  <c r="W15" i="4"/>
  <c r="W80" i="4"/>
  <c r="W74" i="4"/>
  <c r="W67" i="4"/>
  <c r="W64" i="4"/>
  <c r="W58" i="4"/>
  <c r="W51" i="4"/>
  <c r="W48" i="4"/>
  <c r="W42" i="4"/>
  <c r="W35" i="4"/>
  <c r="W32" i="4"/>
  <c r="W26" i="4"/>
  <c r="W19" i="4"/>
  <c r="W16" i="4"/>
  <c r="W79" i="4"/>
  <c r="W76" i="4"/>
  <c r="W70" i="4"/>
  <c r="W63" i="4"/>
  <c r="W60" i="4"/>
  <c r="W54" i="4"/>
  <c r="W47" i="4"/>
  <c r="W44" i="4"/>
  <c r="W38" i="4"/>
  <c r="W31" i="4"/>
  <c r="W28" i="4"/>
  <c r="W22" i="4"/>
  <c r="W13" i="4"/>
  <c r="W11" i="4"/>
  <c r="W9" i="4"/>
  <c r="W7" i="4"/>
  <c r="W5" i="4"/>
  <c r="B10" i="5" s="1"/>
  <c r="C36" i="1" s="1"/>
  <c r="W12" i="4"/>
  <c r="W10" i="4"/>
  <c r="W8" i="4"/>
  <c r="W6" i="4"/>
  <c r="C5" i="1" l="1"/>
  <c r="C6" i="2"/>
  <c r="C37" i="1"/>
  <c r="C14" i="2"/>
  <c r="C51" i="1"/>
  <c r="C29" i="1"/>
  <c r="C50" i="1"/>
  <c r="C28" i="1"/>
  <c r="C45" i="1"/>
  <c r="C26" i="1"/>
  <c r="C47" i="1"/>
  <c r="C27" i="1"/>
  <c r="C40" i="1"/>
  <c r="C35" i="1"/>
  <c r="C13" i="2"/>
  <c r="AO87" i="4"/>
  <c r="AO86" i="4"/>
  <c r="W87" i="4"/>
  <c r="U4" i="4"/>
  <c r="U86" i="4" s="1"/>
  <c r="T4" i="4"/>
  <c r="T86" i="4" s="1"/>
  <c r="S86" i="4"/>
  <c r="R4" i="4"/>
  <c r="Q4" i="4"/>
  <c r="E86" i="4"/>
  <c r="AS86" i="4" s="1"/>
  <c r="C86" i="4"/>
  <c r="Q86" i="4" l="1"/>
  <c r="R86" i="4"/>
  <c r="D55" i="3"/>
  <c r="W86" i="4" l="1"/>
  <c r="W4" i="4"/>
  <c r="P4" i="4"/>
  <c r="V4" i="4" s="1"/>
  <c r="P10" i="4"/>
  <c r="V10" i="4" s="1"/>
  <c r="P5" i="4"/>
  <c r="V5" i="4" s="1"/>
  <c r="P6" i="4"/>
  <c r="V6" i="4" s="1"/>
  <c r="P7" i="4"/>
  <c r="V7" i="4" s="1"/>
  <c r="P12" i="4"/>
  <c r="V12" i="4" s="1"/>
  <c r="P8" i="4"/>
  <c r="V8" i="4" s="1"/>
  <c r="P18" i="4"/>
  <c r="V18" i="4" s="1"/>
  <c r="P13" i="4"/>
  <c r="V13" i="4" s="1"/>
  <c r="P11" i="4"/>
  <c r="V11" i="4" s="1"/>
  <c r="P15" i="4"/>
  <c r="V15" i="4" s="1"/>
  <c r="P14" i="4"/>
  <c r="V14" i="4" s="1"/>
  <c r="P20" i="4"/>
  <c r="V20" i="4" s="1"/>
  <c r="P21" i="4"/>
  <c r="V21" i="4" s="1"/>
  <c r="P16" i="4"/>
  <c r="V16" i="4" s="1"/>
  <c r="P17" i="4"/>
  <c r="V17" i="4" s="1"/>
  <c r="P19" i="4"/>
  <c r="V19" i="4" s="1"/>
  <c r="P22" i="4"/>
  <c r="V22" i="4" s="1"/>
  <c r="P68" i="4"/>
  <c r="V68" i="4" s="1"/>
  <c r="P24" i="4"/>
  <c r="V24" i="4" s="1"/>
  <c r="P25" i="4"/>
  <c r="V25" i="4" s="1"/>
  <c r="P27" i="4"/>
  <c r="V27" i="4" s="1"/>
  <c r="P23" i="4"/>
  <c r="V23" i="4" s="1"/>
  <c r="P77" i="4"/>
  <c r="V77" i="4" s="1"/>
  <c r="P28" i="4"/>
  <c r="V28" i="4" s="1"/>
  <c r="P30" i="4"/>
  <c r="V30" i="4" s="1"/>
  <c r="P31" i="4"/>
  <c r="V31" i="4" s="1"/>
  <c r="P73" i="4"/>
  <c r="V73" i="4" s="1"/>
  <c r="P34" i="4"/>
  <c r="V34" i="4" s="1"/>
  <c r="P69" i="4"/>
  <c r="V69" i="4" s="1"/>
  <c r="P37" i="4"/>
  <c r="V37" i="4" s="1"/>
  <c r="P41" i="4"/>
  <c r="V41" i="4" s="1"/>
  <c r="P38" i="4"/>
  <c r="V38" i="4" s="1"/>
  <c r="P48" i="4"/>
  <c r="V48" i="4" s="1"/>
  <c r="P39" i="4"/>
  <c r="V39" i="4" s="1"/>
  <c r="P40" i="4"/>
  <c r="V40" i="4" s="1"/>
  <c r="P42" i="4"/>
  <c r="V42" i="4" s="1"/>
  <c r="P43" i="4"/>
  <c r="V43" i="4" s="1"/>
  <c r="P44" i="4"/>
  <c r="V44" i="4" s="1"/>
  <c r="P45" i="4"/>
  <c r="V45" i="4" s="1"/>
  <c r="P46" i="4"/>
  <c r="V46" i="4" s="1"/>
  <c r="P26" i="4"/>
  <c r="V26" i="4" s="1"/>
  <c r="P62" i="4"/>
  <c r="V62" i="4" s="1"/>
  <c r="P54" i="4"/>
  <c r="V54" i="4" s="1"/>
  <c r="P70" i="4"/>
  <c r="V70" i="4" s="1"/>
  <c r="P49" i="4"/>
  <c r="V49" i="4" s="1"/>
  <c r="P32" i="4"/>
  <c r="V32" i="4" s="1"/>
  <c r="P50" i="4"/>
  <c r="V50" i="4" s="1"/>
  <c r="P51" i="4"/>
  <c r="V51" i="4" s="1"/>
  <c r="P53" i="4"/>
  <c r="V53" i="4" s="1"/>
  <c r="P33" i="4"/>
  <c r="V33" i="4" s="1"/>
  <c r="P52" i="4"/>
  <c r="V52" i="4" s="1"/>
  <c r="P55" i="4"/>
  <c r="V55" i="4" s="1"/>
  <c r="P67" i="4"/>
  <c r="V67" i="4" s="1"/>
  <c r="P56" i="4"/>
  <c r="V56" i="4" s="1"/>
  <c r="P29" i="4"/>
  <c r="V29" i="4" s="1"/>
  <c r="P35" i="4"/>
  <c r="V35" i="4" s="1"/>
  <c r="P57" i="4"/>
  <c r="V57" i="4" s="1"/>
  <c r="P36" i="4"/>
  <c r="V36" i="4" s="1"/>
  <c r="P58" i="4"/>
  <c r="V58" i="4" s="1"/>
  <c r="P59" i="4"/>
  <c r="V59" i="4" s="1"/>
  <c r="P60" i="4"/>
  <c r="V60" i="4" s="1"/>
  <c r="P61" i="4"/>
  <c r="V61" i="4" s="1"/>
  <c r="P63" i="4"/>
  <c r="V63" i="4" s="1"/>
  <c r="P64" i="4"/>
  <c r="V64" i="4" s="1"/>
  <c r="P65" i="4"/>
  <c r="V65" i="4" s="1"/>
  <c r="P47" i="4"/>
  <c r="V47" i="4" s="1"/>
  <c r="P66" i="4"/>
  <c r="V66" i="4" s="1"/>
  <c r="P71" i="4"/>
  <c r="V71" i="4" s="1"/>
  <c r="P72" i="4"/>
  <c r="V72" i="4" s="1"/>
  <c r="P74" i="4"/>
  <c r="V74" i="4" s="1"/>
  <c r="P75" i="4"/>
  <c r="V75" i="4" s="1"/>
  <c r="P76" i="4"/>
  <c r="V76" i="4" s="1"/>
  <c r="P78" i="4"/>
  <c r="V78" i="4" s="1"/>
  <c r="P79" i="4"/>
  <c r="V79" i="4" s="1"/>
  <c r="P80" i="4"/>
  <c r="V80" i="4" s="1"/>
  <c r="P88" i="4" l="1"/>
  <c r="V88" i="4" s="1"/>
  <c r="P87" i="4"/>
  <c r="V87" i="4" s="1"/>
  <c r="P9" i="4"/>
  <c r="V9" i="4" s="1"/>
  <c r="A1" i="3"/>
  <c r="A1" i="2"/>
  <c r="A1" i="1"/>
  <c r="P86" i="4" l="1"/>
  <c r="V86" i="4" s="1"/>
  <c r="C49" i="1"/>
  <c r="C41" i="1"/>
  <c r="C39" i="1"/>
  <c r="C43" i="1"/>
  <c r="C48" i="1"/>
  <c r="C10" i="2"/>
  <c r="C8" i="2"/>
  <c r="C33" i="1"/>
  <c r="C52" i="1"/>
  <c r="C34" i="1"/>
  <c r="C9" i="2"/>
  <c r="C38" i="1"/>
  <c r="C42" i="1"/>
  <c r="C44" i="1"/>
  <c r="C46" i="1"/>
  <c r="C57" i="1"/>
  <c r="C11" i="2"/>
  <c r="C58" i="1"/>
  <c r="C15" i="2"/>
  <c r="C12" i="2"/>
  <c r="B9" i="5"/>
  <c r="F19" i="1" l="1"/>
  <c r="F18" i="1"/>
  <c r="E40" i="1"/>
  <c r="E39" i="1"/>
  <c r="F50" i="1"/>
  <c r="E13" i="1"/>
  <c r="F51" i="1"/>
  <c r="D38" i="3"/>
  <c r="D39" i="3"/>
  <c r="D41" i="3"/>
  <c r="D40" i="3"/>
  <c r="F17" i="1"/>
  <c r="F47" i="1"/>
  <c r="E42" i="1"/>
  <c r="E38" i="1"/>
  <c r="E34" i="1"/>
  <c r="F46" i="1"/>
  <c r="E41" i="1"/>
  <c r="E37" i="1"/>
  <c r="F49" i="1"/>
  <c r="F45" i="1"/>
  <c r="E36" i="1"/>
  <c r="F48" i="1"/>
  <c r="F44" i="1"/>
  <c r="E35" i="1"/>
  <c r="F43" i="1"/>
  <c r="D66" i="3" s="1"/>
  <c r="E33" i="1"/>
  <c r="D67" i="3" s="1"/>
  <c r="E12" i="1"/>
  <c r="E11" i="1"/>
  <c r="E14" i="1"/>
  <c r="E10" i="1"/>
  <c r="F16" i="1"/>
  <c r="F15" i="1"/>
  <c r="D64" i="3" s="1"/>
  <c r="D42" i="3"/>
  <c r="G18" i="3" l="1"/>
  <c r="G14" i="3"/>
  <c r="D12" i="3"/>
  <c r="F28" i="1"/>
  <c r="E26" i="1"/>
  <c r="D14" i="3"/>
  <c r="D18" i="3"/>
  <c r="E53" i="1"/>
  <c r="F52" i="1"/>
  <c r="G22" i="3"/>
  <c r="D22" i="3"/>
  <c r="G12" i="3"/>
  <c r="F29" i="1" l="1"/>
  <c r="G8" i="2" s="1"/>
  <c r="E27" i="1"/>
  <c r="E13" i="2" s="1"/>
  <c r="G13" i="2"/>
  <c r="G11" i="2"/>
  <c r="G15" i="2"/>
  <c r="G10" i="2"/>
  <c r="J18" i="3"/>
  <c r="G9" i="2"/>
  <c r="J14" i="3"/>
  <c r="D26" i="3"/>
  <c r="F53" i="1"/>
  <c r="E9" i="2"/>
  <c r="J12" i="3"/>
  <c r="G26" i="3"/>
  <c r="J22" i="3"/>
  <c r="G14" i="2" l="1"/>
  <c r="F30" i="1"/>
  <c r="E10" i="2"/>
  <c r="E8" i="2"/>
  <c r="I13" i="2"/>
  <c r="E15" i="2"/>
  <c r="E12" i="2"/>
  <c r="E30" i="1"/>
  <c r="E11" i="2"/>
  <c r="E14" i="2"/>
  <c r="J23" i="3"/>
  <c r="D68" i="3"/>
  <c r="I14" i="2" l="1"/>
  <c r="I10" i="2"/>
  <c r="I11" i="2" l="1"/>
  <c r="I8" i="2"/>
  <c r="I15" i="2"/>
  <c r="E59" i="1"/>
  <c r="I9" i="2"/>
  <c r="F58" i="1"/>
  <c r="F59" i="1" l="1"/>
  <c r="G12" i="2"/>
  <c r="I12" i="2" s="1"/>
  <c r="E16" i="2"/>
  <c r="I16" i="2" l="1"/>
  <c r="G16" i="2"/>
  <c r="D43" i="3"/>
</calcChain>
</file>

<file path=xl/sharedStrings.xml><?xml version="1.0" encoding="utf-8"?>
<sst xmlns="http://schemas.openxmlformats.org/spreadsheetml/2006/main" count="1405" uniqueCount="582">
  <si>
    <t>GASB 68 Template – TSERS</t>
  </si>
  <si>
    <t>Component Units</t>
  </si>
  <si>
    <t>Choose Your Agency:</t>
  </si>
  <si>
    <t>FAYETTEVILLE STATE UNIVERSITY</t>
  </si>
  <si>
    <t>&lt;&lt; Click to see a list of agencies (sorted by agency type).</t>
  </si>
  <si>
    <t>TSERS Number:</t>
  </si>
  <si>
    <t>Entity Type:</t>
  </si>
  <si>
    <t>Needed for account numbers (NCFS/Colleague). Hidden on Summary Tab (columns Q/R). In Lookup formula, column number on data tab plus 1.</t>
  </si>
  <si>
    <t>OSA's Audit Report</t>
  </si>
  <si>
    <t>Teachers' and State Employees' Retirement System – Financial Audit of Schedules</t>
  </si>
  <si>
    <t>Note: This template was developed by the NC Office of the State Controller. If you have</t>
  </si>
  <si>
    <t>GASB 68 Journal Entries – TSERS</t>
  </si>
  <si>
    <t>Entry</t>
  </si>
  <si>
    <t>Account Name</t>
  </si>
  <si>
    <t>Number</t>
  </si>
  <si>
    <t>Sub</t>
  </si>
  <si>
    <t>Debit</t>
  </si>
  <si>
    <t>Credit</t>
  </si>
  <si>
    <t>Description</t>
  </si>
  <si>
    <t>Notes</t>
  </si>
  <si>
    <t>Rounding</t>
  </si>
  <si>
    <t>BEGINNING BALANCES (FORMULAS)</t>
  </si>
  <si>
    <t>Deferred outflows for pensions</t>
  </si>
  <si>
    <t>Change in proportion; contributions during measurement period</t>
  </si>
  <si>
    <t>Changes of assumptions</t>
  </si>
  <si>
    <t>Difference between projected/actual investment earnings</t>
  </si>
  <si>
    <t>Difference between expected/actual experience</t>
  </si>
  <si>
    <t>Rounded, if necessary</t>
  </si>
  <si>
    <t>Net pension liability</t>
  </si>
  <si>
    <t>Beginning net pension liability</t>
  </si>
  <si>
    <t>Deferred inflows for pensions</t>
  </si>
  <si>
    <t>CURRENT FISCAL YEAR ENTRIES</t>
  </si>
  <si>
    <t>Adjustment for PY Contributions (FORMULAS)</t>
  </si>
  <si>
    <t>Deferred outflow for pensions</t>
  </si>
  <si>
    <t>Miscellaneous expense</t>
  </si>
  <si>
    <t>Calculated</t>
  </si>
  <si>
    <t>See Summary tab, Note 1</t>
  </si>
  <si>
    <t>Miscellaneous income</t>
  </si>
  <si>
    <t>Change in Pension Amounts (FORMULAS)</t>
  </si>
  <si>
    <t>Net pension liability–noncurrent</t>
  </si>
  <si>
    <t>Change in the net pension liability</t>
  </si>
  <si>
    <t>Calculated by OSC</t>
  </si>
  <si>
    <t>(b1) and (b2)</t>
  </si>
  <si>
    <t>(c)</t>
  </si>
  <si>
    <t>(d1), (d2), and (d3)</t>
  </si>
  <si>
    <t>Pension expense</t>
  </si>
  <si>
    <t>Change in net pension liability recognized immediately</t>
  </si>
  <si>
    <t>(f)</t>
  </si>
  <si>
    <t>(a1) and (a2)</t>
  </si>
  <si>
    <t>(d)</t>
  </si>
  <si>
    <t>Reversal of beginning deferred outflow balance – per actuary</t>
  </si>
  <si>
    <t>See entry #1 above</t>
  </si>
  <si>
    <t>(To record changes in the net pension liability, deferred outflows/inflows of resources</t>
  </si>
  <si>
    <t>for pensions, pension expense, and reversal of deferred outflow in entry 1)</t>
  </si>
  <si>
    <t>After Measurement Date (MANUAL ENTRY)</t>
  </si>
  <si>
    <t>FY2024 employer contributions – per agency/institution</t>
  </si>
  <si>
    <t>Retirement contributions</t>
  </si>
  <si>
    <t>(e)</t>
  </si>
  <si>
    <t xml:space="preserve">(To record pension contributions after the measurement date) </t>
  </si>
  <si>
    <t xml:space="preserve">Calculated by multiplying the covered payroll for TSERS (on an accrual basis) </t>
  </si>
  <si>
    <t>Note: Exclude pension spike payments from this entry</t>
  </si>
  <si>
    <t>(a1)</t>
  </si>
  <si>
    <t>Differences between expected and actual experience with regard to economic and demographic factors in the measurement of the total pension liability should be included in collective pension expense, beginning in the current measurement period, using a systematic and rational method over a closed period equal to the average of the expected remaining service lives of all employees that are provided with pensions through the pension plan (active employees and inactive employees) determined as of the beginning of the measurement period. The portion not included in collective pension expense should be included in collective deferred outflows of resources or deferred inflows of resources related to pensions. (GASB 68, paragraph 71a)</t>
  </si>
  <si>
    <t>(a2)</t>
  </si>
  <si>
    <t>Experience gains represent actual experience that increases the total pension liability less than projected or decreases the total pension liability greater than projected. These amounts result in decreases in pension expense and increases in deferred inflows of resources. (GASB 68 Implementation Guide, page 142)</t>
  </si>
  <si>
    <t>(b1)</t>
  </si>
  <si>
    <t>The difference between projected and actual earnings on pension plan investments should be included in collective pension expense using a systematic and rational method over a closed five-year period, beginning in the current measurement period. The amount not included in collective pension expense should be included in collective deferred outflows of resources or deferred inflows of resources related to pensions. Collective deferred outflows of resources and deferred inflows of resources arising from differences between projected and actual pension plan investment earnings in different measurement periods should be aggregated and included as a net collective deferred outflow of resources related to pensions or a net collective deferred inflow of resources related to pensions. (GASB 68, paragraph 71b)</t>
  </si>
  <si>
    <t>(b2)</t>
  </si>
  <si>
    <t>Investment returns that are greater than projected decrease pension expense and increase deferred inflows of resources.</t>
  </si>
  <si>
    <t>Changes of assumptions about future economic or demographic factors or of other inputs should be included in collective pension expense, beginning in the current measurement period, using a systematic and rational method over a closed period equal to the average of the expected remaining service lives of all employees that are provided with pensions through the pension plan (active employees and inactive employees) determined as of the beginning of the measurement period. The portion not included in collective pension expense should be included in collective deferred outflows of resources or deferred inflows of resources related to pensions. (GASB 68, paragraph 71a)</t>
  </si>
  <si>
    <t>(d1)</t>
  </si>
  <si>
    <t>If there is a change in the employer’s proportion of the collective net pension liability since the prior measurement date, the net effect of that change on the employer’s proportionate shares of the collective net pension liability and collective deferred outflows of resources and deferred inflows of resources related to pensions, determined as of the beginning of the measurement period, should be recognized in the employer’s pension expense, beginning in the current reporting period, using a systematic and rational method over a closed period. For this purpose, the length of the expense recognition period should be equal to the average of the expected remaining service lives of all employees that are provided with pensions through the pension plan (active employees and inactive employees) determined as of the beginning of the measurement period. The amount not recognized in the employer’s pension expense should be reported as a deferred outflow of resources or deferred inflow of resources related to pensions. (GASB 68, paragraph 54)</t>
  </si>
  <si>
    <t>(d2)</t>
  </si>
  <si>
    <t>For contributions to the pension plan other than those to separately finance specific liabilities of an individual employer or nonemployer contributing entity to the pension plan, the difference during the measurement period between (a) the total amount of such contributions from the employer (and amounts associated with the employer from nonemployer contributing entities that are not in a special funding situation) and (b) the amount of the employer’s proportionate share of the total of such contributions from all employers and all nonemployer contributing entities should be recognized in the employer’s pension expense, beginning in the current reporting period, using a systematic and rational method over a closed period. For this purpose, the length of the expense recognition period should be equal to the average of the expected remaining service lives of all employees that are provided with pensions through the pension plan (active employees and inactive employees) determined as of the beginning of the measurement period. The amount not recognized in the employer’s pension expense should be reported as a deferred outflow of resources or deferred inflow of resources related to pensions. (GASB 68, paragraph 55)</t>
  </si>
  <si>
    <t>(d3)</t>
  </si>
  <si>
    <t>If the employer's actual contributions exceed its proportionate share of total contributions, the difference increases pension expense and results in a deferred outflow of resources. (GASB 68 Implementation Guide, page 164)</t>
  </si>
  <si>
    <t>Contributions to the pension plan from the employer subsequent to the measurement date of the collective net pension liability and before the end of the employer’s reporting period should be reported as a deferred outflow of resources related to pensions. (GASB 68, paragraph 57)</t>
  </si>
  <si>
    <t>Components of collective pension expense include—service cost, interest on the total pension liability, effect of changes in benefit terms, projected investment income, employee contributions, expensed portions of deferred outflows/inflows of resources related to pensions, plan administrative expense, and other changes in fiduciary net position. Contributions from employers or nonemployer contributing entities should not be included in pension expense. (GASB 68, paragraph 71)</t>
  </si>
  <si>
    <t>13th Period</t>
  </si>
  <si>
    <t>Entry, Net</t>
  </si>
  <si>
    <t>Debit (Credit)</t>
  </si>
  <si>
    <t>NCFS</t>
  </si>
  <si>
    <t>Colleague</t>
  </si>
  <si>
    <t>Miscellaneous expense (see Note)</t>
  </si>
  <si>
    <t>Miscellaneous income (see Note)</t>
  </si>
  <si>
    <t>Restatement–net position</t>
  </si>
  <si>
    <t>Totals</t>
  </si>
  <si>
    <t>Note:</t>
  </si>
  <si>
    <t>GASB 68 Disclosures – TSERS</t>
  </si>
  <si>
    <t>1)</t>
  </si>
  <si>
    <t>Employer Balances of Deferred Outflows of Resources and Deferred Inflows of</t>
  </si>
  <si>
    <t>Resources Related to Pensions by Classification:</t>
  </si>
  <si>
    <t>Net Deferred</t>
  </si>
  <si>
    <t>Amount to be</t>
  </si>
  <si>
    <t>Deferred Outflows</t>
  </si>
  <si>
    <t>Deferred Inflows</t>
  </si>
  <si>
    <t xml:space="preserve">Recognized in </t>
  </si>
  <si>
    <t>of Resources</t>
  </si>
  <si>
    <t>Pension Expense</t>
  </si>
  <si>
    <t xml:space="preserve">Difference between actual and </t>
  </si>
  <si>
    <t>expected experience</t>
  </si>
  <si>
    <t>Net difference between projected and</t>
  </si>
  <si>
    <t>actual earnings on pension plan</t>
  </si>
  <si>
    <t>investments (see note below)</t>
  </si>
  <si>
    <t>Change in proportion and differences</t>
  </si>
  <si>
    <t>between agency's contributions and</t>
  </si>
  <si>
    <t>proportionate share of contributions</t>
  </si>
  <si>
    <t xml:space="preserve">Contributions subsequent to the </t>
  </si>
  <si>
    <t>measurement date</t>
  </si>
  <si>
    <t>Total</t>
  </si>
  <si>
    <r>
      <rPr>
        <i/>
        <u/>
        <sz val="10"/>
        <rFont val="Arial"/>
        <family val="2"/>
      </rPr>
      <t>Note</t>
    </r>
    <r>
      <rPr>
        <i/>
        <sz val="10"/>
        <rFont val="Arial"/>
        <family val="2"/>
      </rPr>
      <t>: Collective deferred outflows of resources and deferred inflows of resources arising from differences between projected and actual pension plan investment earnings in different measurement periods should be aggregated and included as a net collective deferred outflow of resources related to pensions or a net collective deferred inflow of resources related to pensions. (GASB 68, paragraph 71b and 80h(3))</t>
    </r>
  </si>
  <si>
    <t>Source: GASB 68, paragraph 80h(1) thru (5)</t>
  </si>
  <si>
    <t>2)</t>
  </si>
  <si>
    <t>Schedule of the Net Amount of the Employer's Balances of Deferred Outflows of</t>
  </si>
  <si>
    <t>Resources and Deferred Inflows of Resources That will be Recognized in</t>
  </si>
  <si>
    <t>Pension Expense:</t>
  </si>
  <si>
    <t>Year ended June 30:</t>
  </si>
  <si>
    <t>Note: negative amounts indicate amortization of pension deferrals that will decrease</t>
  </si>
  <si>
    <t>pension expense.</t>
  </si>
  <si>
    <t>Source: GASB 68, paragraph 80i(1)</t>
  </si>
  <si>
    <t>3)</t>
  </si>
  <si>
    <t>Amount of the Employer's Balance of Deferred Outflows of Resources That will be</t>
  </si>
  <si>
    <t>Included as a Reduction of the Net Pension Liability in the Fiscal Year Ended</t>
  </si>
  <si>
    <t>Deferred Outflow Amount</t>
  </si>
  <si>
    <t>d25 above</t>
  </si>
  <si>
    <t>Source: GASB 68, paragraph 80i(2)</t>
  </si>
  <si>
    <t>4)</t>
  </si>
  <si>
    <t>Changes in Long-term Liabilities (Worksheet 310)</t>
  </si>
  <si>
    <t>Net Pension</t>
  </si>
  <si>
    <t>Liability</t>
  </si>
  <si>
    <t>Prior year adjustments</t>
  </si>
  <si>
    <r>
      <t xml:space="preserve">Additions </t>
    </r>
    <r>
      <rPr>
        <i/>
        <sz val="10"/>
        <rFont val="Arial"/>
        <family val="2"/>
      </rPr>
      <t>(see Note 1)</t>
    </r>
  </si>
  <si>
    <r>
      <t>Deletions</t>
    </r>
    <r>
      <rPr>
        <i/>
        <sz val="10"/>
        <rFont val="Arial"/>
        <family val="2"/>
      </rPr>
      <t xml:space="preserve"> </t>
    </r>
  </si>
  <si>
    <r>
      <t xml:space="preserve">Due within one year </t>
    </r>
    <r>
      <rPr>
        <i/>
        <sz val="10"/>
        <rFont val="Arial"/>
        <family val="2"/>
      </rPr>
      <t>(see Note 2)</t>
    </r>
  </si>
  <si>
    <r>
      <rPr>
        <i/>
        <u/>
        <sz val="10"/>
        <rFont val="Arial"/>
        <family val="2"/>
      </rPr>
      <t>Note 1</t>
    </r>
    <r>
      <rPr>
        <i/>
        <sz val="10"/>
        <rFont val="Arial"/>
        <family val="2"/>
      </rPr>
      <t>: Employers should disclose the net change amount (instead of both additions and deletions) and reference that more information on the net pension liability is available in the separate note on retirement plans. Since the amount reported is the employer’s proportionate share of the collective net pension liability, additions and deletions are not relevant for this disclosure. The collective net pension liability equals the total pension liability for the pension plan, net of the plan’s fiduciary net position.</t>
    </r>
  </si>
  <si>
    <r>
      <rPr>
        <i/>
        <u/>
        <sz val="10"/>
        <rFont val="Arial"/>
        <family val="2"/>
      </rPr>
      <t>Note 2</t>
    </r>
    <r>
      <rPr>
        <i/>
        <sz val="10"/>
        <rFont val="Arial"/>
        <family val="2"/>
      </rPr>
      <t>: If the employer reports a net pension liability under Statement 68, the amount of the net pension liability that is “due” within one year is the amount of benefit payments expected to be paid within one year, net of the pension plan’s fiduciary net position available to pay that amount. Therefore, there would be no amount that is “due” within one year unless the pension plan’s fiduciary net position is less than the amount of benefit payments expected to be paid within one year. (Comprehensive Implementation Guide, 7.22.6)</t>
    </r>
  </si>
  <si>
    <t>6/30/2023 Deferred Outflows of Resources</t>
  </si>
  <si>
    <t>6/30/2023 Deferred Inflows of Resources</t>
  </si>
  <si>
    <t>Amortization</t>
  </si>
  <si>
    <t>Net Deferred Outflow</t>
  </si>
  <si>
    <t>Net Deferred Inflow</t>
  </si>
  <si>
    <t>Net Pension Liability</t>
  </si>
  <si>
    <t>Agency Name</t>
  </si>
  <si>
    <t>Agency Num</t>
  </si>
  <si>
    <t>6/30/2023 Net Pension Liability</t>
  </si>
  <si>
    <t>Differences Between Expected And Actual Experience</t>
  </si>
  <si>
    <t>Net Difference Between Projected And Actual Investment Earnings On Plan Investments</t>
  </si>
  <si>
    <t>Changes Of Assumptions</t>
  </si>
  <si>
    <t>Changes In Proportion And Differences Between Employer Contributions And Proportional Share Of Contributions</t>
  </si>
  <si>
    <t>Proportional Share Of Pension Expense</t>
  </si>
  <si>
    <t>Net Amortization Of Deferred Amounts From Changes In Proportion And Differences Between Employer Contributions And Proportional Share Of Contributions</t>
  </si>
  <si>
    <t>Total Employer Pension Expense</t>
  </si>
  <si>
    <t>Reporting Year 2026</t>
  </si>
  <si>
    <t>Reporting Year 2027</t>
  </si>
  <si>
    <t>Reporting Year 2028</t>
  </si>
  <si>
    <t>Reporting Year 2029</t>
  </si>
  <si>
    <t>NPL Rounding Adjustment</t>
  </si>
  <si>
    <t>Amortization Rounding Adjustment</t>
  </si>
  <si>
    <t>Entity</t>
  </si>
  <si>
    <t>Not Needed</t>
  </si>
  <si>
    <t>Changes of Assumptions</t>
  </si>
  <si>
    <t>APPALACHIAN STATE UNIVERSITY</t>
  </si>
  <si>
    <t>EAST CAROLINA UNIVERSITY</t>
  </si>
  <si>
    <t>ELIZABETH CITY STATE UNIVERSITY</t>
  </si>
  <si>
    <t>N C CENTRAL UNIVERSITY</t>
  </si>
  <si>
    <t>N C SCHOOL OF SCIENCE &amp; MATHEMATICS</t>
  </si>
  <si>
    <t>N C SCHOOL OF THE ARTS</t>
  </si>
  <si>
    <t>N C STATE UNIVERSITY</t>
  </si>
  <si>
    <t>NC A&amp;T UNIVERSITY</t>
  </si>
  <si>
    <t>UNC - PEMBROKE</t>
  </si>
  <si>
    <t>UNC HEALTH CARE SYSTEM</t>
  </si>
  <si>
    <t>UNC-CH CB 1260</t>
  </si>
  <si>
    <t>UNIVERSITY OF NORTH CAROLINA AT ASHEVILLE</t>
  </si>
  <si>
    <t>UNIVERSITY OF NORTH CAROLINA AT CHARLOTTE</t>
  </si>
  <si>
    <t>UNIVERSITY OF NORTH CAROLINA AT GREENSBORO</t>
  </si>
  <si>
    <t>UNIVERSITY OF NORTH CAROLINA AT WILMINGTON</t>
  </si>
  <si>
    <t>WESTERN CAROLINA UNIVERSITY</t>
  </si>
  <si>
    <t>WINSTON-SALEM STATE UNIVERSITY</t>
  </si>
  <si>
    <t>ALAMANCE COMMUNITY COLLEGE</t>
  </si>
  <si>
    <t>ASHEVILLE-BUNCOMBE TECHNICAL COLLEGE</t>
  </si>
  <si>
    <t>BEAUFORT COUNTY COMMUNITY COLLEGE</t>
  </si>
  <si>
    <t>BLADEN COMMUNITY COLLEGE</t>
  </si>
  <si>
    <t>BLUE RIDGE COMMUNITY COLLEGE</t>
  </si>
  <si>
    <t>BRUNSWICK COMMUNITY COLLEGE</t>
  </si>
  <si>
    <t>CALDWELL COMMUNITY COLLEGE</t>
  </si>
  <si>
    <t>CAPE FEAR COMMUNITY COLLEGE</t>
  </si>
  <si>
    <t>CARTERET COMMUNITY COLLEGE</t>
  </si>
  <si>
    <t>CATAWBA VALLEY COMMUNITY COLLEGE</t>
  </si>
  <si>
    <t>CENTRAL CAROLINA COMMUNITY COLLEGE</t>
  </si>
  <si>
    <t>CENTRAL PIEDMONT COMMUNITY COLLEGE</t>
  </si>
  <si>
    <t>CLEVELAND TECHNICAL COLLEGE</t>
  </si>
  <si>
    <t>COASTAL CAROLINA COMMUNITY COLLEGE</t>
  </si>
  <si>
    <t>COLLEGE OF THE ALBEMARLE</t>
  </si>
  <si>
    <t>CRAVEN COMMUNITY COLLEGE</t>
  </si>
  <si>
    <t>DAVIDSON COUNTY COMMUNITY COLLEGE</t>
  </si>
  <si>
    <t>DURHAM TECHNICAL INSTITUTE</t>
  </si>
  <si>
    <t>EDGECOMBE TECHNICAL COLLEGE</t>
  </si>
  <si>
    <t>FAYETTEVILLE TECHNICAL COMMUNITY COLLEGE</t>
  </si>
  <si>
    <t>FORSYTH TECHNICAL INSTITUTE</t>
  </si>
  <si>
    <t>GASTON COLLEGE</t>
  </si>
  <si>
    <t>GUILFORD TECHNICAL COMMUNITY COLLEGE</t>
  </si>
  <si>
    <t>HALIFAX COMMUNITY COLLEGE</t>
  </si>
  <si>
    <t>HAYWOOD TECHNICAL COLLEGE</t>
  </si>
  <si>
    <t>ISOTHERMAL COMMUNITY COLLEGE</t>
  </si>
  <si>
    <t>JAMES SPRUNT TECHNICAL COLLEGE</t>
  </si>
  <si>
    <t>JOHNSTON TECHNICAL COLLEGE</t>
  </si>
  <si>
    <t>LENOIR COUNTY COMMUNITY COLLEGE</t>
  </si>
  <si>
    <t>MARTIN COMMUNITY COLLEGE</t>
  </si>
  <si>
    <t>MAYLAND TECHNICAL COLLEGE</t>
  </si>
  <si>
    <t>MCDOWELL TECHNICAL COLLEGE</t>
  </si>
  <si>
    <t>MITCHELL COMMUNITY COLLEGE</t>
  </si>
  <si>
    <t>MONTGOMERY COMMUNITY COLLEGE</t>
  </si>
  <si>
    <t>NASH TECHNICAL COLLEGE</t>
  </si>
  <si>
    <t>PAMLICO COMMUNITY COLLEGE</t>
  </si>
  <si>
    <t>PIEDMONT COMMUNITY COLLEGE</t>
  </si>
  <si>
    <t>PITT COMMUNITY COLLEGE</t>
  </si>
  <si>
    <t>RANDOLPH COMMUNITY COLLEGE</t>
  </si>
  <si>
    <t>RICHMOND TECHNICAL COLLEGE</t>
  </si>
  <si>
    <t>ROANOKE-CHOWAN COMMUNITY COLLEGE</t>
  </si>
  <si>
    <t>ROBESON COMMUNITY COLLEGE</t>
  </si>
  <si>
    <t>ROCKINGHAM COMMUNITY COLLEGE</t>
  </si>
  <si>
    <t>ROWAN-CABARRUS COMMUNITY COLLEGE</t>
  </si>
  <si>
    <t>SAMPSON COMMUNITY COLLEGE</t>
  </si>
  <si>
    <t>SANDHILLS COMMUNITY COLLEGE</t>
  </si>
  <si>
    <t>SOUTH PIEDMONT COMMUNITY COLLEGE</t>
  </si>
  <si>
    <t>SOUTHEASTERN COMMUNITY COLLEGE</t>
  </si>
  <si>
    <t>SOUTHWESTERN COMMUNITY COLLEGE</t>
  </si>
  <si>
    <t>STANLY COMMUNITY COLLEGE</t>
  </si>
  <si>
    <t>SURRY COMMUNITY COLLEGE</t>
  </si>
  <si>
    <t>TRI-COUNTY COMMUNITY COLLEGE</t>
  </si>
  <si>
    <t>VANCE-GRANVILLE COMMUNITY COLLEGE</t>
  </si>
  <si>
    <t>WAKE TECHNICAL COLLEGE</t>
  </si>
  <si>
    <t>WAYNE COMMUNITY COLLEGE</t>
  </si>
  <si>
    <t>WESTERN PIEDMONT COMM COLLEGE</t>
  </si>
  <si>
    <t>WILKES COMMUNITY COLLEGE</t>
  </si>
  <si>
    <t>WILSON COMMUNITY COLLEGE</t>
  </si>
  <si>
    <t>NC HOUSING FINANCE AGENCY</t>
  </si>
  <si>
    <t>STATE HEALTH PLAN</t>
  </si>
  <si>
    <t>UNC-SO ONLY</t>
  </si>
  <si>
    <t>STATE EDUCATION ASSISTANCE AUTHORITY</t>
  </si>
  <si>
    <t>NC GLOBAL TRANSPARK AUTHORITY</t>
  </si>
  <si>
    <t>NC STATE PORTS AUTHORITY</t>
  </si>
  <si>
    <t>TOTAL UNC SYSTEM</t>
  </si>
  <si>
    <t>TOTAL COMMUNITY COLLEGES</t>
  </si>
  <si>
    <t>TOTAL OTHER COMPONENT UNITS</t>
  </si>
  <si>
    <t>Employer Number</t>
  </si>
  <si>
    <t>Employer Name</t>
  </si>
  <si>
    <t>Present Value Of Future Salary Allocation</t>
  </si>
  <si>
    <t>Total Contributions</t>
  </si>
  <si>
    <t>NORTH CAROLINA EDUCATION LOTTERY</t>
  </si>
  <si>
    <t>DEPARTMENT OF JUSTICE</t>
  </si>
  <si>
    <t>STATE AUDITOR</t>
  </si>
  <si>
    <t>DEPARTMENT OF NATURAL AND CULTURAL RESOURCES</t>
  </si>
  <si>
    <t>ADMINISTRATIVE OFFICE OF THE COURTS</t>
  </si>
  <si>
    <t>OFFICE OF ADMINISTRATIVE HEARING</t>
  </si>
  <si>
    <t>DEPARTMENT OF ADMINISTRATION</t>
  </si>
  <si>
    <t>OFFICE OF STATE BUDGET &amp; MANAGEMENT</t>
  </si>
  <si>
    <t>INFORMATION TECHNOLOGY SERVICES</t>
  </si>
  <si>
    <t>OFFICE OF STATE CONTROLLER</t>
  </si>
  <si>
    <t>NC DEPARTMENT OF MILITARY &amp; VETERANS AFFAIRS</t>
  </si>
  <si>
    <t>NC DEPT OF ENVIRONMENTAL QUALITY</t>
  </si>
  <si>
    <t>WILDLIFE RESOURCES COMMISSION</t>
  </si>
  <si>
    <t>STATE BOARD OF ELECTIONS</t>
  </si>
  <si>
    <t>GOVERNOR'S OFFICE</t>
  </si>
  <si>
    <t>LT GOVERNOR'S OFFICE</t>
  </si>
  <si>
    <t>GENERAL ASSEMBLY</t>
  </si>
  <si>
    <t>HEALTH AND HUMAN SVCS</t>
  </si>
  <si>
    <t>DEPARTMENT OF COMMERCE</t>
  </si>
  <si>
    <t>INSURANCE DEPARTMENT</t>
  </si>
  <si>
    <t>LABOR DEPARTMENT</t>
  </si>
  <si>
    <t>REVENUE DEPARTMENT</t>
  </si>
  <si>
    <t>SECRETARY OF STATE</t>
  </si>
  <si>
    <t>STATE TREASURER</t>
  </si>
  <si>
    <t xml:space="preserve">STATE HEALTH PLAN </t>
  </si>
  <si>
    <t>DEPT OF AGRICULTURE &amp; CONSUMER SVCS.</t>
  </si>
  <si>
    <t>BARBER EXAMINERS, STATE BOARD OF</t>
  </si>
  <si>
    <t>NORTH CAROLINA BOARD OF OPTICIANS</t>
  </si>
  <si>
    <t>N C AUCTIONEERS LICENSING BOARD</t>
  </si>
  <si>
    <t>NC BRD OF EXAMINERS OF PRACTICING PSYCOLOGISTS</t>
  </si>
  <si>
    <t>COMMUNITY COLLEGES ADMINISTRATION</t>
  </si>
  <si>
    <t>DEPARTMENT OF PUBLIC SAFETY</t>
  </si>
  <si>
    <t>UNC-CHAPEL HILL CB1260</t>
  </si>
  <si>
    <t>UNC-SYSTEM OFFICE</t>
  </si>
  <si>
    <t>SEAA</t>
  </si>
  <si>
    <t>UNIVERSITY OF NORTH CAROLINA PRESS</t>
  </si>
  <si>
    <t>DEPARTMENT OF PUBLIC INSTRUCTION</t>
  </si>
  <si>
    <t>YANCEY COUNTY SCHOOLS</t>
  </si>
  <si>
    <t>ALAMANCE COUNTY SCHOOLS</t>
  </si>
  <si>
    <t>CLOVER GARDEN CHARTER SCHOOL</t>
  </si>
  <si>
    <t>RIVER MILL ACADEMY CHARTER</t>
  </si>
  <si>
    <t>THE HAWBRIDGE SCHOOL</t>
  </si>
  <si>
    <t>ALEXANDER COUNTY SCHOOLS</t>
  </si>
  <si>
    <t>ALLEGHANY COUNTY SCHOOLS</t>
  </si>
  <si>
    <t>ANSON COUNTY SCHOOLS</t>
  </si>
  <si>
    <t>ASHE COUNTY SCHOOLS</t>
  </si>
  <si>
    <t>AVERY COUNTY SCHOOLS</t>
  </si>
  <si>
    <t>BEAUFORT COUNTY SCHOOLS</t>
  </si>
  <si>
    <t>BERTIE COUNTY SCHOOLS</t>
  </si>
  <si>
    <t>BLADEN COUNTY SCHOOLS</t>
  </si>
  <si>
    <t>BRUNSWICK COUNTY SCHOOLS</t>
  </si>
  <si>
    <t>BUNCOMBE COUNTY SCHOOLS</t>
  </si>
  <si>
    <t>F DELANY NEW SCHOOL FOR CHILDREN</t>
  </si>
  <si>
    <t>EVERGREEN COMMUNITY CHARTER SCHOOL</t>
  </si>
  <si>
    <t>ASHEVILLE CITY SCHOOLS</t>
  </si>
  <si>
    <t>BURKE COUNTY SCHOOLS</t>
  </si>
  <si>
    <t>CABARRUS COUNTY SCHOOLS</t>
  </si>
  <si>
    <t>CAROLINA INTERNATIONAL SCHOOL</t>
  </si>
  <si>
    <t>KANNAPOLIS CITY SCHOOLS</t>
  </si>
  <si>
    <t>CALDWELL COUNTY SCHOOLS</t>
  </si>
  <si>
    <t>CAMDEN COUNTY SCHOOLS</t>
  </si>
  <si>
    <t>CARTERET COUNTY SCHOOLS</t>
  </si>
  <si>
    <t>CASWELL COUNTY SCHOOLS</t>
  </si>
  <si>
    <t>CATAWBA COUNTY SCHOOLS</t>
  </si>
  <si>
    <t>HICKORY CITY SCHOOLS</t>
  </si>
  <si>
    <t>NEWTON-CONOVER CITY SCHOOLS</t>
  </si>
  <si>
    <t>CHATHAM COUNTY SCHOOLS</t>
  </si>
  <si>
    <t>CHEROKEE COUNTY SCHOOLS</t>
  </si>
  <si>
    <t>EDENTON-CHOWAN COUNTY SCHOOLS</t>
  </si>
  <si>
    <t>CLAY COUNTY SCHOOLS</t>
  </si>
  <si>
    <t>CLEVELAND COUNTY SCHOOLS</t>
  </si>
  <si>
    <t>CLEVELAND COMMUNITY COLLEGE</t>
  </si>
  <si>
    <t>COLUMBUS COUNTY SCHOOLS</t>
  </si>
  <si>
    <t>WHITEVILLE CITY SCHOOLS</t>
  </si>
  <si>
    <t>NEW BERN CRAVEN COUNTY BOARD OF EDUCATION</t>
  </si>
  <si>
    <t>CUMBERLAND COUNTY SCHOOLS</t>
  </si>
  <si>
    <t>CURRITUCK COUNTY SCHOOLS</t>
  </si>
  <si>
    <t>DARE COUNTY SCHOOLS</t>
  </si>
  <si>
    <t>DAVIDSON COUNTY SCHOOLS</t>
  </si>
  <si>
    <t>INVEST COLLEGIATE CHARTER (DAVIDSON)</t>
  </si>
  <si>
    <t>DISCOVERY CHARTER</t>
  </si>
  <si>
    <t>DAVIDSON-DAVIE COMMUNITY COLLEGE</t>
  </si>
  <si>
    <t>LEXINGTON CITY SCHOOLS</t>
  </si>
  <si>
    <t>ALAMANCE COMMUNITY SCHOOL</t>
  </si>
  <si>
    <t>THOMASVILLE CITY SCHOOLS</t>
  </si>
  <si>
    <t>DAVIE COUNTY SCHOOLS</t>
  </si>
  <si>
    <t>N.E. REGIONAL SCHOOL FOR BIOTECHNOLOGY</t>
  </si>
  <si>
    <t>CORNERSTONE ACADEMY</t>
  </si>
  <si>
    <t>DUPLIN COUNTY SCHOOLS</t>
  </si>
  <si>
    <t>DURHAM PUBLIC SCHOOLS</t>
  </si>
  <si>
    <t>CENTRAL PARK SCH FOR CHILDREN</t>
  </si>
  <si>
    <t>HEALTHY START ACADEMY</t>
  </si>
  <si>
    <t>VOYAGER ACADEMY</t>
  </si>
  <si>
    <t>BEAR GRASS CHARTER SCHOOL</t>
  </si>
  <si>
    <t>INVEST COLLEGIATE CHARTER (BUNCOMBE)</t>
  </si>
  <si>
    <t>EDGECOMBE COUNTY SCHOOLS</t>
  </si>
  <si>
    <t>WINSTON-SALEM-FORSYTH COUNTY SCHOOLS</t>
  </si>
  <si>
    <t>ARTS BASED ELEMENTARY CHARTER</t>
  </si>
  <si>
    <t>FORSYTH TECHNICAL COMMUNIITY COLLEGE</t>
  </si>
  <si>
    <t>FRANKLIN COUNTY SCHOOLS</t>
  </si>
  <si>
    <t>A CHILDS GARDEN CHARTER (AKA CROSS CREEK CHARTER)</t>
  </si>
  <si>
    <t>GASTON COUNTY SCHOOLS</t>
  </si>
  <si>
    <t>GATES COUNTY SCHOOLS</t>
  </si>
  <si>
    <t>GRAHAM COUNTY SCHOOLS</t>
  </si>
  <si>
    <t>GRANVILLE COUNTY PUBLIC SCHOOLS</t>
  </si>
  <si>
    <t>GREENE COUNTY SCHOOLS</t>
  </si>
  <si>
    <t>GUILFORD COUNTY SCHOOLS</t>
  </si>
  <si>
    <t>HALIFAX COUNTY SCHOOLS</t>
  </si>
  <si>
    <t>ROANOKE RAPIDS CITY SCHOOLS</t>
  </si>
  <si>
    <t>WELDON CITY SCHOOLS</t>
  </si>
  <si>
    <t>HARNETT COUNTY SCHOOLS</t>
  </si>
  <si>
    <t>HAYWOOD COUNTY SCHOOLS</t>
  </si>
  <si>
    <t>HENDERSON COUNTY SCHOOLS</t>
  </si>
  <si>
    <t>MOUNTAIN COMMUNITY SCHOOL</t>
  </si>
  <si>
    <t>HERTFORD COUNTY SCHOOLS</t>
  </si>
  <si>
    <t>HOKE COUNTY SCHOOLS</t>
  </si>
  <si>
    <t>HYDE COUNTY SCHOOLS</t>
  </si>
  <si>
    <t>IREDELL-STATESVILLE SCHOOLS</t>
  </si>
  <si>
    <t>AMERICAN RENAISSANCE MID SCHOOL</t>
  </si>
  <si>
    <t>SUCCESS INSTITUTE</t>
  </si>
  <si>
    <t>MOORESVILLE CITY SCHOOLS</t>
  </si>
  <si>
    <t>JACKSON COUNTY SCHOOLS</t>
  </si>
  <si>
    <t>JOHNSTON COUNTY SCHOOLS</t>
  </si>
  <si>
    <t>NEUSE CHARTER SCHOOL</t>
  </si>
  <si>
    <t>JONES COUNTY SCHOOLS</t>
  </si>
  <si>
    <t>LEE COUNTY BOARD OF EDUCATION</t>
  </si>
  <si>
    <t>LENOIR COUNTY SCHOOLS</t>
  </si>
  <si>
    <t>CHILDRENS VILLAGE ACADEMY</t>
  </si>
  <si>
    <t>LINCOLN COUNTY SCHOOLS</t>
  </si>
  <si>
    <t>MACON COUNTY SCHOOLS</t>
  </si>
  <si>
    <t>MADISON COUNTY SCHOOLS</t>
  </si>
  <si>
    <t>MARTIN COUNTY SCHOOLS</t>
  </si>
  <si>
    <t>MCDOWELL COUNTY SCHOOLS</t>
  </si>
  <si>
    <t>CHARLOTTE-MECKLENBURG COUNTY SCHOOLS</t>
  </si>
  <si>
    <t>COMMUNITY SCHOOL OF DAVIDSON</t>
  </si>
  <si>
    <t>CORVIAN COMMUNITY CHARTER SCHOOL</t>
  </si>
  <si>
    <t>LAKE NORMAN CHARTER SCHOOL</t>
  </si>
  <si>
    <t>SOCRATES ACADEMY</t>
  </si>
  <si>
    <t>PINE LAKE PREP CHARTER</t>
  </si>
  <si>
    <t>CHARLOTTE SECONDARY CHARTER</t>
  </si>
  <si>
    <t>MITCHELL COUNTY SCHOOLS</t>
  </si>
  <si>
    <t>MONTGOMERY COUNTY SCHOOLS</t>
  </si>
  <si>
    <t>MOORE COUNTY SCHOOLS</t>
  </si>
  <si>
    <t>ACADEMY OF MOORE COUNTY</t>
  </si>
  <si>
    <t>STARS CHARTER SCHOOL</t>
  </si>
  <si>
    <t>THE NORTH CAROLINA LEADERSHIP ACADEMY</t>
  </si>
  <si>
    <t>NASH COUNTY PUBLIC SCHOOLS</t>
  </si>
  <si>
    <t>NASH COMMUNITY COLLEGE</t>
  </si>
  <si>
    <t>NEW HANOVER COUNTY SCHOOLS</t>
  </si>
  <si>
    <t>CAPE FEAR CTR FOR INQUIRY</t>
  </si>
  <si>
    <t>WILMINGTON PREP ACADEMY</t>
  </si>
  <si>
    <t>NORTHAMPTON COUNTY SCHOOLS</t>
  </si>
  <si>
    <t>ONSLOW COUNTY SCHOOLS</t>
  </si>
  <si>
    <t>ZECA SCHOOL OF THE ARTS AND TECHNOLOGY</t>
  </si>
  <si>
    <t>ORANGE COUNTY SCHOOLS</t>
  </si>
  <si>
    <t>ORANGE CHARTER SCHOOL</t>
  </si>
  <si>
    <t>CHAPEL HILL - CARRBORO CITY SCHOOLS</t>
  </si>
  <si>
    <t>PAMLICO COUNTY SCHOOLS</t>
  </si>
  <si>
    <t>ARAPAHOE CHARTER SCHOOL</t>
  </si>
  <si>
    <t>ELIZABETH CITY AND PASQUOTANK COUNTY SCHOOLS</t>
  </si>
  <si>
    <t>N.E. ACADEMY OF AEROSPACE &amp; ADV.TECH</t>
  </si>
  <si>
    <t>PENDER COUNTY SCHOOLS</t>
  </si>
  <si>
    <t>PERQUIMANS COUNTY SCHOOLS</t>
  </si>
  <si>
    <t>PERSON COUNTY SCHOOLS</t>
  </si>
  <si>
    <t>ROXBORO COMMUNITY SCHOOL</t>
  </si>
  <si>
    <t>PITT COUNTY SCHOOLS</t>
  </si>
  <si>
    <t>POLK COUNTY SCHOOLS</t>
  </si>
  <si>
    <t>RANDOLPH COUNTY SCHOOLS</t>
  </si>
  <si>
    <t>UWHARRIE CHARTER ACADEMY</t>
  </si>
  <si>
    <t>ASHEBORO CITY SCHOOLS</t>
  </si>
  <si>
    <t>RICHMOND COUNTY SCHOOLS</t>
  </si>
  <si>
    <t>ROBESON COUNTY SCHOOLS</t>
  </si>
  <si>
    <t>SOUTHEASTERN ACADEMY CHARTER SCHOOL</t>
  </si>
  <si>
    <t>ROCKINGHAM COUNTY SCHOOLS</t>
  </si>
  <si>
    <t>BETHANY COMMUNITY MIDDLE SCHOOL</t>
  </si>
  <si>
    <t>ROWAN-SALISBURY SCHOOL SYSTEM</t>
  </si>
  <si>
    <t>RUTHERFORD COUNTY SCHOOLS</t>
  </si>
  <si>
    <t>SAMPSON COUNTY SCHOOLS</t>
  </si>
  <si>
    <t>CLINTON CITY SCHOOLS</t>
  </si>
  <si>
    <t>SCOTLAND COUNTY SCHOOLS</t>
  </si>
  <si>
    <t>STANLY COUNTY SCHOOLS</t>
  </si>
  <si>
    <t>GRAY STONE DAY SCHOOL</t>
  </si>
  <si>
    <t>STOKES COUNTY SCHOOLS</t>
  </si>
  <si>
    <t>SURRY COUNTY SCHOOLS</t>
  </si>
  <si>
    <t>MILLENNIUM CHARTER ACADEMY</t>
  </si>
  <si>
    <t>MOUNT AIRY CITY SCHOOLS</t>
  </si>
  <si>
    <t>ELKIN CITY SCHOOLS</t>
  </si>
  <si>
    <t>SWAIN COUNTY SCHOOLS</t>
  </si>
  <si>
    <t>MTN DISCOVERY CHARTER</t>
  </si>
  <si>
    <t>TRANSYLVANIA COUNTY SCHOOLS</t>
  </si>
  <si>
    <t>BREVARD ACADEMY CHARTER SCHOOL</t>
  </si>
  <si>
    <t>TYRRELL COUNTY SCHOOLS</t>
  </si>
  <si>
    <t>UNION COUNTY SCHOOLS</t>
  </si>
  <si>
    <t>VANCE COUNTY SCHOOLS</t>
  </si>
  <si>
    <t>VANCE CHARTER SCHOOL</t>
  </si>
  <si>
    <t>WAKE COUNTY PUBLIC SCHOOLS SYSTEM</t>
  </si>
  <si>
    <t>ENDEAVOR CHARTER SCHOOL</t>
  </si>
  <si>
    <t>SOUTHERN WAKE ACADEMY</t>
  </si>
  <si>
    <t>EAST WAKE FIRST ACADEMY</t>
  </si>
  <si>
    <t>CASA ESPERANZA MONTESSORI</t>
  </si>
  <si>
    <t>NORTH CAROLINA INNOVATIVE SCHOOL DISTRICT</t>
  </si>
  <si>
    <t>WARREN COUNTY SCHOOLS</t>
  </si>
  <si>
    <t>HALIWA-SAPONI TRIBAL CHARTER</t>
  </si>
  <si>
    <t>WASHINGTON COUNTY SCHOOLS</t>
  </si>
  <si>
    <t>HENDERSON COLLEGIATE CHARTER SCHOOL</t>
  </si>
  <si>
    <t>WATAUGA COUNTY SCHOOLS</t>
  </si>
  <si>
    <t>TWO RIVERS COMM SCHOOL</t>
  </si>
  <si>
    <t>WAYNE COUNTY SCHOOLS</t>
  </si>
  <si>
    <t>WILKES COUNTY SCHOOLS</t>
  </si>
  <si>
    <t>PINNACLE CLASSICAL ACADEMY</t>
  </si>
  <si>
    <t>WILSON COUNTY SCHOOLS</t>
  </si>
  <si>
    <t>YADKIN COUNTY SCHOOLS</t>
  </si>
  <si>
    <t>HIGHWAY - ADMINISTRATIVE</t>
  </si>
  <si>
    <t>GLOBAL TRANSPARK</t>
  </si>
  <si>
    <t>PORTS AUTHORITY</t>
  </si>
  <si>
    <t>TOTALS</t>
  </si>
  <si>
    <t>Deferred Outflows Of Resources</t>
  </si>
  <si>
    <t>Deferred Inflows Of Resources</t>
  </si>
  <si>
    <t>Employer</t>
  </si>
  <si>
    <t>OFFICE OF STATE AUDITOR</t>
  </si>
  <si>
    <t>OFFICE OF STATE BUDGET AND MANAGEMENT</t>
  </si>
  <si>
    <t>DEPARTMENT OF INFORMATION TECHNOLOGY</t>
  </si>
  <si>
    <t>NC SCHOOL OF SCIENCE AND MATHEMATICS</t>
  </si>
  <si>
    <t>NC DEPARTMENT OF MILITARY AND VETERANS AFFAIRS</t>
  </si>
  <si>
    <t>DEPARTMENT OF ENVIRONMENTAL QUALITY</t>
  </si>
  <si>
    <t>HOUSING FINANCE AGENCY OF NORTH CAROLINA</t>
  </si>
  <si>
    <t>OFFICE OF GOVERNOR</t>
  </si>
  <si>
    <t>OFFICE OF LIEUTENANT GOVERNOR</t>
  </si>
  <si>
    <t>DEPARTMENT OF HEALTH AND HUMAN SERVICES</t>
  </si>
  <si>
    <t>DEPARTMENT OF INSURANCE</t>
  </si>
  <si>
    <t>DEPARTMENT OF LABOR</t>
  </si>
  <si>
    <t>DEPARTMENT OF REVENUE</t>
  </si>
  <si>
    <t>DEPARTMENT OF SECRETARY OF STATE</t>
  </si>
  <si>
    <t>DEPARTMENT OF STATE TREASURER (w/o State Health Plan)</t>
  </si>
  <si>
    <t>DEPARTMENT OF STATE TREASURER (State Health Plan Only)</t>
  </si>
  <si>
    <t>DEPARTMENT OF AGRICULTURE AND CONSUMER SERVICES</t>
  </si>
  <si>
    <t>STATE BOARD OF BARBER EXAMINERS</t>
  </si>
  <si>
    <t>NC AUCTIONEERS LICENSING BOARD</t>
  </si>
  <si>
    <t>COMMUNITY COLLEGE SYSTEM OFFICE</t>
  </si>
  <si>
    <t>NORTH CAROLINA SCHOOL OF THE ARTS</t>
  </si>
  <si>
    <t>NORTH CAROLINA A&amp;T UNIVERSITY</t>
  </si>
  <si>
    <t>NORTH CAROLINA CENTRAL UNIVERSITY</t>
  </si>
  <si>
    <t>UNIVERSITY OF NORTH CAROLINA AT PEMBROKE</t>
  </si>
  <si>
    <t>NC STATE UNIVERSITY</t>
  </si>
  <si>
    <t>GRANDFATHER ACADEMY</t>
  </si>
  <si>
    <t>FRANCINE DELANY NEW SCHOOL FOR CHILDREN</t>
  </si>
  <si>
    <t>WESTERN PIEDMONT COMMUNITY COLLEGE</t>
  </si>
  <si>
    <t>ALAMANCE COMMUNITY SCHOOLS</t>
  </si>
  <si>
    <t>NORTHEAST REGIONAL SCHOOL FOR BIOTECHNOLOGY</t>
  </si>
  <si>
    <t>CENTRAL PARK SCHOOL FOR CHILDREN</t>
  </si>
  <si>
    <t>PIONEER SPRINGS COMMUNITY CHARTER</t>
  </si>
  <si>
    <t>AMERICAN RENAISSANCE MIDDLE SCHOOL</t>
  </si>
  <si>
    <t>KIPP CHARLOTTE CHARTER</t>
  </si>
  <si>
    <t>CAPE FEAR CENTER FOR INQUIRY</t>
  </si>
  <si>
    <t>GASTON COLLEGE PREPARATORY CHARTER</t>
  </si>
  <si>
    <t>N.E. ACADEMY OF AEROSPACE &amp; ADVANCED TECHNOLOGY</t>
  </si>
  <si>
    <t>BRIDGES CHARTER SCHOOLS</t>
  </si>
  <si>
    <t>MOUNTAIN DISCOVERY CHARTER</t>
  </si>
  <si>
    <t>TWO RIVERS COMMUNITY SCHOOL</t>
  </si>
  <si>
    <t>Reporting year 2026</t>
  </si>
  <si>
    <t>Reporting year 2027</t>
  </si>
  <si>
    <t>Reporting year 2028</t>
  </si>
  <si>
    <t>TOTAL Recognition of Deferred (Inflows)/Outflows</t>
  </si>
  <si>
    <t>DEPARTMENT OF CULTURAL RESOURCES</t>
  </si>
  <si>
    <t>ENVIRONMENT AND NATURAL RESOURCES</t>
  </si>
  <si>
    <t>HEALTH &amp; HUMAN SVCS</t>
  </si>
  <si>
    <t>STATE TREASURER (w/o State Health Plan)</t>
  </si>
  <si>
    <t>STATE TREASURER (State Health Plan Only)</t>
  </si>
  <si>
    <t>DEPARTMENT OF AGRICULTURE</t>
  </si>
  <si>
    <t>N C STATE BOARD OF EXAMINERS OF PRACTICING PSYCHOL</t>
  </si>
  <si>
    <t>UNC-GENERAL ADMINISTRATION (w/o SEAA)</t>
  </si>
  <si>
    <t>UNC-GENERAL ADMINISTRATION (SEAA Only)</t>
  </si>
  <si>
    <t>NEW BERN/CRAVEN COUNTY BOARD OF EDUCATION</t>
  </si>
  <si>
    <t>INVEST COLLEGIATE CHARTER SCHOOL</t>
  </si>
  <si>
    <t>GRANVILLE COUNTY SCHOOLS AND OXFORD ORPHANAGE</t>
  </si>
  <si>
    <t>IREDELL COUNTY SCHOOLS</t>
  </si>
  <si>
    <t>AMERICAN RENAISSANCE MIDDLE SCH</t>
  </si>
  <si>
    <t>SANFORD-LEE COUNTY BOARD OF EDUCATION</t>
  </si>
  <si>
    <t>CORVIAN COMMUNITY SCHOOL</t>
  </si>
  <si>
    <t>NASH-ROCKY MOUNT SCHOOLS</t>
  </si>
  <si>
    <t>CHAPEL HILL - CARBORO CITY SCHOOLS</t>
  </si>
  <si>
    <t>WAKE COUNTY SCHOOLS</t>
  </si>
  <si>
    <t>EAST WAKE ACADEMY</t>
  </si>
  <si>
    <t>HIGHWAY - ADMINISTRATIVE (w/o Global Transpark or Ports Authority)</t>
  </si>
  <si>
    <t>HIGHWAY - ADMINISTRATIVE (Global Transpark Only)</t>
  </si>
  <si>
    <t>HIGHWAY - ADMINISTRATIVE (Ports Authority Only)</t>
  </si>
  <si>
    <t>DEPARTMENT OF ADULT CORRECTIONS</t>
  </si>
  <si>
    <t>has own allocation</t>
  </si>
  <si>
    <t>dst</t>
  </si>
  <si>
    <t>shp</t>
  </si>
  <si>
    <t>total</t>
  </si>
  <si>
    <t>UNIVERSITY OF NORTH CAROLINA  AT GREENSBORO</t>
  </si>
  <si>
    <t>unc</t>
  </si>
  <si>
    <t>seaa</t>
  </si>
  <si>
    <t xml:space="preserve">NC STATE BOARD OF EXAMINERS OF PRACTICING PSYCHOLOGISTS  </t>
  </si>
  <si>
    <t>DEPARTMENT OF ADULT CORRECTION</t>
  </si>
  <si>
    <t>GRANVILLE COUNTY SCHOOLS</t>
  </si>
  <si>
    <t>Total Deferred Inflows for Pensions</t>
  </si>
  <si>
    <t>Total deferrred inflows</t>
  </si>
  <si>
    <t>Fiscal Year Ended June 30, 2025</t>
  </si>
  <si>
    <t>https://files.nc.gov/nc-auditor/documents/2025-04/FIN-2024-3400-Pension.pdf</t>
  </si>
  <si>
    <t xml:space="preserve">any questions about this template, please contact Virginia Sisson via email </t>
  </si>
  <si>
    <t>virginia.sisson@ncosc.gov</t>
  </si>
  <si>
    <t>Last Year's MANUAL ENTRY - FY2024 Employer Contributions</t>
  </si>
  <si>
    <t>Deferred outflows for pensions (FY2025 Employer Contributions)</t>
  </si>
  <si>
    <t xml:space="preserve">by 16.79% (the 2024-25 employer contribution rate for TSERS) </t>
  </si>
  <si>
    <t>FY2024 employer contributions – per actuary</t>
  </si>
  <si>
    <t>Difference in FY2024 contributions per employer/actuary</t>
  </si>
  <si>
    <t>(To adjust for difference in FY2024 contributions per employer/actuary)</t>
  </si>
  <si>
    <r>
      <rPr>
        <b/>
        <sz val="10"/>
        <rFont val="Arial"/>
        <family val="2"/>
      </rPr>
      <t>(1)  Difference in Contributions Between Employer/Actuary</t>
    </r>
    <r>
      <rPr>
        <sz val="10"/>
        <rFont val="Arial"/>
        <family val="2"/>
      </rPr>
      <t xml:space="preserve"> – The difference between what your entity reported last year as your FY 2024 employer contributions (i.e., as a deferred outflow for pensions) and the amount reported by the actuary (per this template) should be evaluated for materiality (see "Detail" tab, Entry 1). If this difference is material, the 13th period entry above should be modified. The template assumes the difference is immaterial and adjusts the beginning deferred outflow balance to the actuarial amount with an offset to current year miscellaneous expense (income). However, if the difference is material, the entry should be modified to reflect the offset as a restatement of beginning net position. </t>
    </r>
  </si>
  <si>
    <t>June 30, 2026:</t>
  </si>
  <si>
    <t>Balance July 1, 2024</t>
  </si>
  <si>
    <t>Balance, June 30, 2025</t>
  </si>
  <si>
    <t>6/30/2024 Deferred Outflows of Resources</t>
  </si>
  <si>
    <t>6/30/2024 Deferred Inflows of Resources</t>
  </si>
  <si>
    <t>FY 2023-24 Contributions (DST to Actuary)</t>
  </si>
  <si>
    <t>6/30/2024 Net Pension Liability</t>
  </si>
  <si>
    <t>Reporting Year 2030</t>
  </si>
  <si>
    <t>Reporting year 2029</t>
  </si>
  <si>
    <t>ASPIRE TRADE HIGH SCHOOL</t>
  </si>
  <si>
    <t>WILMINGTON PREPARATORY ACADEMY</t>
  </si>
  <si>
    <t>APSIRE TRADE HIGH SCHOOL</t>
  </si>
  <si>
    <t>STATE BUREAU OF INVESTIGATION</t>
  </si>
  <si>
    <t>OFFICE OF ADMINISTRATIVE HEARINGS</t>
  </si>
  <si>
    <t xml:space="preserve">                               -  </t>
  </si>
  <si>
    <t xml:space="preserve">                                -  </t>
  </si>
  <si>
    <t xml:space="preserve">                             -  </t>
  </si>
  <si>
    <t>HIGHWAY</t>
  </si>
  <si>
    <t>GLOBAL</t>
  </si>
  <si>
    <t>PORTS</t>
  </si>
  <si>
    <t>TOTAL</t>
  </si>
  <si>
    <t>Non 2024 Participation</t>
  </si>
  <si>
    <t>GoTo "Detail" Tab — Enter Employer Contributions (FY2024 &amp; FY2025).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</si>
</sst>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00_);\(#,##0.00\);\—\—\—\ \ \ \ "/>
    <numFmt numFmtId="165" formatCode="\(0\)"/>
    <numFmt numFmtId="166" formatCode="#,##0_);\(#,##0\);\—\—\—\ \ \ \ "/>
    <numFmt numFmtId="167" formatCode="#,##0_);\(#,##0\);\—\ \ \ \ "/>
    <numFmt numFmtId="168" formatCode="_(&quot;$&quot;* #,##0_);_(&quot;$&quot;* \(#,##0\);_(&quot;$&quot;* &quot;—&quot;_);_(@_)"/>
    <numFmt numFmtId="169" formatCode="_(* #,##0_);_(* \(#,##0\);_(* &quot;—&quot;_);_(@_)"/>
    <numFmt numFmtId="170" formatCode="0.00000%"/>
    <numFmt numFmtId="171" formatCode="_(* #,##0_);_(* \(#,##0\);_(* &quot;-&quot;??_);_(@_)"/>
    <numFmt numFmtId="172" formatCode="_(* #,##0_);_(* \(#,##0\);_(* &quot;-&quot;????_);_(@_)"/>
    <numFmt numFmtId="173" formatCode="_(&quot;$&quot;* #,##0_);_(&quot;$&quot;* \(#,##0\);_(&quot;$&quot;* &quot;-&quot;??_);_(@_)"/>
    <numFmt numFmtId="174" formatCode="&quot;$&quot;#,##0.0"/>
  </numFmts>
  <fonts count="51"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b/>
      <u/>
      <sz val="9"/>
      <name val="Arial"/>
      <family val="2"/>
    </font>
    <font>
      <b/>
      <u/>
      <sz val="9"/>
      <name val="Arial Narrow"/>
      <family val="2"/>
    </font>
    <font>
      <sz val="9"/>
      <name val="Arial Narrow"/>
      <family val="2"/>
    </font>
    <font>
      <b/>
      <i/>
      <sz val="9"/>
      <name val="Arial Narrow"/>
      <family val="2"/>
    </font>
    <font>
      <b/>
      <sz val="9"/>
      <name val="Arial Narrow"/>
      <family val="2"/>
    </font>
    <font>
      <b/>
      <i/>
      <u/>
      <sz val="9"/>
      <name val="Arial Narrow"/>
      <family val="2"/>
    </font>
    <font>
      <sz val="9"/>
      <name val="@Batang"/>
      <family val="1"/>
    </font>
    <font>
      <sz val="8"/>
      <name val="Arial"/>
      <family val="2"/>
    </font>
    <font>
      <sz val="12"/>
      <name val="Times New Roman"/>
      <family val="1"/>
    </font>
    <font>
      <sz val="8.25"/>
      <name val="Helv"/>
    </font>
    <font>
      <b/>
      <sz val="10"/>
      <name val="Arial"/>
      <family val="2"/>
    </font>
    <font>
      <sz val="8"/>
      <name val="Arial Narrow"/>
      <family val="2"/>
    </font>
    <font>
      <sz val="10"/>
      <name val="Arial"/>
      <family val="2"/>
    </font>
    <font>
      <u/>
      <sz val="9"/>
      <name val="Arial Narrow"/>
      <family val="2"/>
    </font>
    <font>
      <b/>
      <i/>
      <sz val="9"/>
      <color theme="1"/>
      <name val="Arial Narrow"/>
      <family val="2"/>
    </font>
    <font>
      <sz val="9"/>
      <name val="Arial"/>
      <family val="2"/>
    </font>
    <font>
      <b/>
      <u/>
      <sz val="10"/>
      <name val="Arial"/>
      <family val="2"/>
    </font>
    <font>
      <u/>
      <sz val="10"/>
      <name val="Arial"/>
      <family val="2"/>
    </font>
    <font>
      <i/>
      <sz val="10"/>
      <name val="Arial"/>
      <family val="2"/>
    </font>
    <font>
      <sz val="10"/>
      <color rgb="FF0000FF"/>
      <name val="Arial"/>
      <family val="2"/>
    </font>
    <font>
      <sz val="10"/>
      <name val="Arial"/>
      <family val="2"/>
    </font>
    <font>
      <b/>
      <sz val="11"/>
      <color theme="1"/>
      <name val="Calibri"/>
      <family val="2"/>
      <scheme val="minor"/>
    </font>
    <font>
      <b/>
      <sz val="10"/>
      <color rgb="FF000000"/>
      <name val="Arial"/>
      <family val="2"/>
    </font>
    <font>
      <b/>
      <sz val="11"/>
      <color rgb="FF000000"/>
      <name val="Calibri"/>
      <family val="2"/>
      <scheme val="minor"/>
    </font>
    <font>
      <sz val="11"/>
      <color rgb="FF000000"/>
      <name val="Calibri"/>
      <family val="2"/>
      <scheme val="minor"/>
    </font>
    <font>
      <b/>
      <u/>
      <sz val="9"/>
      <color rgb="FFFF0000"/>
      <name val="Arial Narrow"/>
      <family val="2"/>
    </font>
    <font>
      <i/>
      <u/>
      <sz val="10"/>
      <name val="Arial"/>
      <family val="2"/>
    </font>
    <font>
      <sz val="10"/>
      <color indexed="10"/>
      <name val="Arial"/>
      <family val="2"/>
    </font>
    <font>
      <b/>
      <sz val="10"/>
      <color indexed="10"/>
      <name val="Arial"/>
      <family val="2"/>
    </font>
    <font>
      <b/>
      <sz val="14"/>
      <color rgb="FFFF0000"/>
      <name val="Arial"/>
      <family val="2"/>
    </font>
    <font>
      <b/>
      <sz val="12.5"/>
      <color rgb="FFFF0000"/>
      <name val="Arial"/>
      <family val="2"/>
    </font>
    <font>
      <u/>
      <sz val="10"/>
      <color theme="10"/>
      <name val="Arial"/>
      <family val="2"/>
    </font>
    <font>
      <sz val="10"/>
      <color theme="10"/>
      <name val="Arial"/>
      <family val="2"/>
    </font>
    <font>
      <i/>
      <sz val="9"/>
      <name val="Arial Narrow"/>
      <family val="2"/>
    </font>
    <font>
      <sz val="10"/>
      <color rgb="FFFF0000"/>
      <name val="Arial"/>
      <family val="2"/>
    </font>
    <font>
      <b/>
      <i/>
      <sz val="10"/>
      <name val="Arial"/>
      <family val="2"/>
    </font>
    <font>
      <b/>
      <sz val="9"/>
      <color rgb="FFFF0000"/>
      <name val="Arial Narrow"/>
      <family val="2"/>
    </font>
    <font>
      <b/>
      <sz val="10"/>
      <color rgb="FFFF0000"/>
      <name val="Arial"/>
      <family val="2"/>
    </font>
    <font>
      <sz val="9"/>
      <color indexed="10"/>
      <name val="Arial Narrow"/>
      <family val="2"/>
    </font>
    <font>
      <b/>
      <sz val="10"/>
      <color indexed="10"/>
      <name val="Arial Narrow"/>
      <family val="2"/>
    </font>
    <font>
      <sz val="11"/>
      <name val="Calibri"/>
      <family val="2"/>
      <scheme val="minor"/>
    </font>
    <font>
      <sz val="10"/>
      <color theme="1"/>
      <name val="Arial"/>
      <family val="2"/>
    </font>
    <font>
      <b/>
      <sz val="10"/>
      <color theme="1"/>
      <name val="Arial"/>
      <family val="2"/>
    </font>
    <font>
      <sz val="11"/>
      <name val="Arial"/>
      <family val="2"/>
    </font>
    <font>
      <sz val="10"/>
      <name val="Arial"/>
      <family val="2"/>
    </font>
    <font>
      <sz val="11"/>
      <color theme="1"/>
      <name val="Arial"/>
      <family val="2"/>
    </font>
    <font>
      <sz val="11"/>
      <color rgb="FF000000"/>
      <name val="Arial"/>
      <family val="2"/>
    </font>
  </fonts>
  <fills count="11">
    <fill>
      <patternFill patternType="none"/>
    </fill>
    <fill>
      <patternFill patternType="gray125"/>
    </fill>
    <fill>
      <patternFill patternType="solid">
        <fgColor theme="0" tint="-4.9989318521683403E-2"/>
        <bgColor indexed="64"/>
      </patternFill>
    </fill>
    <fill>
      <patternFill patternType="solid">
        <fgColor theme="0" tint="-0.249977111117893"/>
        <bgColor indexed="64"/>
      </patternFill>
    </fill>
    <fill>
      <patternFill patternType="solid">
        <fgColor theme="0"/>
        <bgColor indexed="64"/>
      </patternFill>
    </fill>
    <fill>
      <patternFill patternType="solid">
        <fgColor theme="0" tint="-0.14996795556505021"/>
        <bgColor indexed="64"/>
      </patternFill>
    </fill>
    <fill>
      <patternFill patternType="solid">
        <fgColor theme="0" tint="-0.14999847407452621"/>
        <bgColor indexed="64"/>
      </patternFill>
    </fill>
    <fill>
      <patternFill patternType="solid">
        <fgColor rgb="FFFFFF00"/>
        <bgColor indexed="64"/>
      </patternFill>
    </fill>
    <fill>
      <patternFill patternType="solid">
        <fgColor rgb="FFB7FFD8"/>
        <bgColor indexed="64"/>
      </patternFill>
    </fill>
    <fill>
      <patternFill patternType="solid">
        <fgColor rgb="FF92D050"/>
        <bgColor indexed="64"/>
      </patternFill>
    </fill>
    <fill>
      <patternFill patternType="solid">
        <fgColor theme="9"/>
        <bgColor indexed="64"/>
      </patternFill>
    </fill>
  </fills>
  <borders count="23">
    <border>
      <left/>
      <right/>
      <top/>
      <bottom/>
      <diagonal/>
    </border>
    <border>
      <left/>
      <right/>
      <top style="thin">
        <color indexed="64"/>
      </top>
      <bottom style="thin">
        <color indexed="64"/>
      </bottom>
      <diagonal/>
    </border>
    <border>
      <left/>
      <right/>
      <top style="thin">
        <color indexed="64"/>
      </top>
      <bottom style="double">
        <color indexed="64"/>
      </bottom>
      <diagonal/>
    </border>
    <border>
      <left/>
      <right/>
      <top/>
      <bottom style="thin">
        <color indexed="64"/>
      </bottom>
      <diagonal/>
    </border>
    <border>
      <left/>
      <right/>
      <top/>
      <bottom style="double">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rgb="FFFF0000"/>
      </left>
      <right style="thin">
        <color rgb="FFFF0000"/>
      </right>
      <top style="thin">
        <color rgb="FFFF0000"/>
      </top>
      <bottom style="thin">
        <color rgb="FFFF0000"/>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thin">
        <color theme="0"/>
      </bottom>
      <diagonal/>
    </border>
  </borders>
  <cellStyleXfs count="13">
    <xf numFmtId="0" fontId="0" fillId="0" borderId="0"/>
    <xf numFmtId="0" fontId="13" fillId="0" borderId="0"/>
    <xf numFmtId="43" fontId="24" fillId="0" borderId="0" applyFont="0" applyFill="0" applyBorder="0" applyAlignment="0" applyProtection="0"/>
    <xf numFmtId="9" fontId="24" fillId="0" borderId="0" applyFont="0" applyFill="0" applyBorder="0" applyAlignment="0" applyProtection="0"/>
    <xf numFmtId="0" fontId="35" fillId="0" borderId="0" applyNumberFormat="0" applyFill="0" applyBorder="0" applyAlignment="0" applyProtection="0"/>
    <xf numFmtId="43" fontId="3" fillId="0" borderId="0" applyFont="0" applyFill="0" applyBorder="0" applyAlignment="0" applyProtection="0"/>
    <xf numFmtId="39" fontId="16" fillId="0" borderId="0"/>
    <xf numFmtId="9" fontId="3" fillId="0" borderId="0" applyFont="0" applyFill="0" applyBorder="0" applyAlignment="0" applyProtection="0"/>
    <xf numFmtId="0" fontId="3" fillId="0" borderId="0"/>
    <xf numFmtId="39" fontId="16" fillId="0" borderId="0"/>
    <xf numFmtId="0" fontId="2" fillId="0" borderId="0"/>
    <xf numFmtId="44" fontId="48" fillId="0" borderId="0" applyFont="0" applyFill="0" applyBorder="0" applyAlignment="0" applyProtection="0"/>
    <xf numFmtId="0" fontId="1" fillId="0" borderId="0"/>
  </cellStyleXfs>
  <cellXfs count="282">
    <xf numFmtId="0" fontId="0" fillId="0" borderId="0" xfId="0"/>
    <xf numFmtId="0" fontId="14" fillId="0" borderId="0" xfId="0" applyFont="1"/>
    <xf numFmtId="0" fontId="16" fillId="0" borderId="0" xfId="0" applyFont="1"/>
    <xf numFmtId="166" fontId="14" fillId="0" borderId="0" xfId="0" applyNumberFormat="1" applyFont="1" applyAlignment="1">
      <alignment horizontal="center"/>
    </xf>
    <xf numFmtId="37" fontId="0" fillId="0" borderId="0" xfId="0" applyNumberFormat="1"/>
    <xf numFmtId="170" fontId="0" fillId="0" borderId="0" xfId="0" applyNumberFormat="1"/>
    <xf numFmtId="3" fontId="0" fillId="0" borderId="0" xfId="0" applyNumberFormat="1"/>
    <xf numFmtId="0" fontId="16" fillId="0" borderId="3" xfId="0" applyFont="1" applyBorder="1" applyAlignment="1">
      <alignment horizontal="center" wrapText="1"/>
    </xf>
    <xf numFmtId="0" fontId="0" fillId="0" borderId="3" xfId="0" applyBorder="1" applyAlignment="1">
      <alignment horizontal="center" wrapText="1"/>
    </xf>
    <xf numFmtId="0" fontId="16" fillId="0" borderId="3" xfId="0" quotePrefix="1" applyFont="1" applyBorder="1" applyAlignment="1">
      <alignment horizontal="center" wrapText="1"/>
    </xf>
    <xf numFmtId="0" fontId="0" fillId="0" borderId="3" xfId="0" applyBorder="1" applyAlignment="1">
      <alignment horizontal="center"/>
    </xf>
    <xf numFmtId="0" fontId="16" fillId="0" borderId="3" xfId="0" applyFont="1" applyBorder="1" applyAlignment="1">
      <alignment horizontal="center"/>
    </xf>
    <xf numFmtId="168" fontId="0" fillId="0" borderId="0" xfId="0" applyNumberFormat="1"/>
    <xf numFmtId="169" fontId="0" fillId="0" borderId="0" xfId="0" applyNumberFormat="1"/>
    <xf numFmtId="0" fontId="7" fillId="3" borderId="0" xfId="0" applyFont="1" applyFill="1" applyAlignment="1">
      <alignment horizontal="center"/>
    </xf>
    <xf numFmtId="0" fontId="0" fillId="4" borderId="0" xfId="0" applyFill="1"/>
    <xf numFmtId="0" fontId="5" fillId="4" borderId="0" xfId="0" applyFont="1" applyFill="1" applyAlignment="1">
      <alignment horizontal="center"/>
    </xf>
    <xf numFmtId="0" fontId="6" fillId="4" borderId="0" xfId="0" applyFont="1" applyFill="1" applyAlignment="1">
      <alignment horizontal="center"/>
    </xf>
    <xf numFmtId="0" fontId="7" fillId="4" borderId="0" xfId="0" applyFont="1" applyFill="1" applyAlignment="1">
      <alignment horizontal="center"/>
    </xf>
    <xf numFmtId="0" fontId="8" fillId="4" borderId="0" xfId="0" applyFont="1" applyFill="1" applyAlignment="1">
      <alignment horizontal="center"/>
    </xf>
    <xf numFmtId="0" fontId="12" fillId="4" borderId="0" xfId="1" applyFont="1" applyFill="1" applyAlignment="1">
      <alignment horizontal="left"/>
    </xf>
    <xf numFmtId="0" fontId="12" fillId="4" borderId="0" xfId="1" applyFont="1" applyFill="1"/>
    <xf numFmtId="0" fontId="0" fillId="4" borderId="0" xfId="0" applyFill="1" applyAlignment="1">
      <alignment wrapText="1"/>
    </xf>
    <xf numFmtId="0" fontId="12" fillId="4" borderId="0" xfId="1" applyFont="1" applyFill="1" applyAlignment="1">
      <alignment horizontal="left" wrapText="1"/>
    </xf>
    <xf numFmtId="0" fontId="12" fillId="4" borderId="0" xfId="1" applyFont="1" applyFill="1" applyAlignment="1">
      <alignment wrapText="1"/>
    </xf>
    <xf numFmtId="0" fontId="9" fillId="4" borderId="0" xfId="0" applyFont="1" applyFill="1" applyAlignment="1">
      <alignment horizontal="center"/>
    </xf>
    <xf numFmtId="0" fontId="0" fillId="2" borderId="0" xfId="0" applyFill="1"/>
    <xf numFmtId="0" fontId="5" fillId="2" borderId="0" xfId="0" applyFont="1" applyFill="1" applyAlignment="1">
      <alignment horizontal="center"/>
    </xf>
    <xf numFmtId="164" fontId="5" fillId="2" borderId="0" xfId="0" applyNumberFormat="1" applyFont="1" applyFill="1" applyAlignment="1">
      <alignment horizontal="center"/>
    </xf>
    <xf numFmtId="0" fontId="4" fillId="2" borderId="0" xfId="0" applyFont="1" applyFill="1" applyAlignment="1">
      <alignment horizontal="center"/>
    </xf>
    <xf numFmtId="0" fontId="6" fillId="2" borderId="0" xfId="0" applyFont="1" applyFill="1"/>
    <xf numFmtId="0" fontId="6" fillId="2" borderId="0" xfId="0" applyFont="1" applyFill="1" applyAlignment="1">
      <alignment horizontal="center"/>
    </xf>
    <xf numFmtId="0" fontId="8" fillId="2" borderId="0" xfId="0" applyFont="1" applyFill="1" applyAlignment="1">
      <alignment horizontal="center"/>
    </xf>
    <xf numFmtId="0" fontId="18" fillId="2" borderId="0" xfId="0" applyFont="1" applyFill="1" applyAlignment="1">
      <alignment horizontal="center"/>
    </xf>
    <xf numFmtId="165" fontId="19" fillId="2" borderId="0" xfId="0" applyNumberFormat="1" applyFont="1" applyFill="1" applyAlignment="1">
      <alignment horizontal="center"/>
    </xf>
    <xf numFmtId="167" fontId="6" fillId="2" borderId="0" xfId="0" applyNumberFormat="1" applyFont="1" applyFill="1"/>
    <xf numFmtId="0" fontId="6" fillId="2" borderId="0" xfId="0" applyFont="1" applyFill="1" applyAlignment="1">
      <alignment horizontal="left" indent="2"/>
    </xf>
    <xf numFmtId="0" fontId="8" fillId="2" borderId="0" xfId="0" applyFont="1" applyFill="1"/>
    <xf numFmtId="167" fontId="8" fillId="2" borderId="0" xfId="0" applyNumberFormat="1" applyFont="1" applyFill="1" applyAlignment="1">
      <alignment horizontal="center"/>
    </xf>
    <xf numFmtId="0" fontId="16" fillId="2" borderId="0" xfId="0" applyFont="1" applyFill="1"/>
    <xf numFmtId="0" fontId="17" fillId="2" borderId="0" xfId="0" applyFont="1" applyFill="1" applyAlignment="1">
      <alignment horizontal="center"/>
    </xf>
    <xf numFmtId="167" fontId="6" fillId="2" borderId="0" xfId="0" applyNumberFormat="1" applyFont="1" applyFill="1" applyProtection="1">
      <protection locked="0"/>
    </xf>
    <xf numFmtId="167" fontId="6" fillId="2" borderId="1" xfId="0" applyNumberFormat="1" applyFont="1" applyFill="1" applyBorder="1"/>
    <xf numFmtId="168" fontId="16" fillId="2" borderId="0" xfId="0" applyNumberFormat="1" applyFont="1" applyFill="1"/>
    <xf numFmtId="169" fontId="16" fillId="2" borderId="0" xfId="0" applyNumberFormat="1" applyFont="1" applyFill="1"/>
    <xf numFmtId="170" fontId="26" fillId="0" borderId="0" xfId="3" applyNumberFormat="1" applyFont="1" applyFill="1" applyBorder="1" applyAlignment="1">
      <alignment horizontal="center" wrapText="1"/>
    </xf>
    <xf numFmtId="0" fontId="27" fillId="0" borderId="0" xfId="0" applyFont="1" applyAlignment="1">
      <alignment horizontal="center" wrapText="1"/>
    </xf>
    <xf numFmtId="169" fontId="16" fillId="4" borderId="0" xfId="0" applyNumberFormat="1" applyFont="1" applyFill="1"/>
    <xf numFmtId="0" fontId="29" fillId="2" borderId="0" xfId="0" applyFont="1" applyFill="1" applyAlignment="1">
      <alignment horizontal="center"/>
    </xf>
    <xf numFmtId="42" fontId="0" fillId="4" borderId="0" xfId="0" applyNumberFormat="1" applyFill="1"/>
    <xf numFmtId="0" fontId="14" fillId="4" borderId="0" xfId="0" applyFont="1" applyFill="1"/>
    <xf numFmtId="0" fontId="14" fillId="4" borderId="0" xfId="0" quotePrefix="1" applyFont="1" applyFill="1"/>
    <xf numFmtId="0" fontId="33" fillId="4" borderId="0" xfId="0" applyFont="1" applyFill="1"/>
    <xf numFmtId="0" fontId="33" fillId="4" borderId="0" xfId="0" applyFont="1" applyFill="1" applyAlignment="1">
      <alignment horizontal="center"/>
    </xf>
    <xf numFmtId="0" fontId="14" fillId="4" borderId="0" xfId="0" applyFont="1" applyFill="1" applyAlignment="1">
      <alignment horizontal="left"/>
    </xf>
    <xf numFmtId="0" fontId="32" fillId="4" borderId="0" xfId="0" applyFont="1" applyFill="1" applyAlignment="1">
      <alignment horizontal="left" indent="3"/>
    </xf>
    <xf numFmtId="0" fontId="31" fillId="4" borderId="0" xfId="0" applyFont="1" applyFill="1" applyAlignment="1">
      <alignment horizontal="left" indent="4"/>
    </xf>
    <xf numFmtId="165" fontId="19" fillId="4" borderId="0" xfId="0" applyNumberFormat="1" applyFont="1" applyFill="1" applyAlignment="1">
      <alignment horizontal="center"/>
    </xf>
    <xf numFmtId="0" fontId="10" fillId="4" borderId="0" xfId="0" applyFont="1" applyFill="1"/>
    <xf numFmtId="166" fontId="6" fillId="4" borderId="0" xfId="0" applyNumberFormat="1" applyFont="1" applyFill="1"/>
    <xf numFmtId="0" fontId="6" fillId="4" borderId="0" xfId="0" applyFont="1" applyFill="1" applyAlignment="1">
      <alignment horizontal="center" vertical="top"/>
    </xf>
    <xf numFmtId="0" fontId="6" fillId="4" borderId="0" xfId="0" applyFont="1" applyFill="1"/>
    <xf numFmtId="0" fontId="6" fillId="4" borderId="0" xfId="0" applyFont="1" applyFill="1" applyAlignment="1">
      <alignment horizontal="left" vertical="top"/>
    </xf>
    <xf numFmtId="0" fontId="6" fillId="4" borderId="0" xfId="0" applyFont="1" applyFill="1" applyAlignment="1">
      <alignment vertical="top"/>
    </xf>
    <xf numFmtId="49" fontId="6" fillId="4" borderId="0" xfId="0" quotePrefix="1" applyNumberFormat="1" applyFont="1" applyFill="1" applyAlignment="1">
      <alignment horizontal="center" vertical="top"/>
    </xf>
    <xf numFmtId="0" fontId="14" fillId="2" borderId="0" xfId="0" quotePrefix="1" applyFont="1" applyFill="1" applyAlignment="1">
      <alignment horizontal="center"/>
    </xf>
    <xf numFmtId="0" fontId="14" fillId="2" borderId="3" xfId="0" quotePrefix="1" applyFont="1" applyFill="1" applyBorder="1" applyAlignment="1">
      <alignment horizontal="center"/>
    </xf>
    <xf numFmtId="169" fontId="16" fillId="2" borderId="3" xfId="0" applyNumberFormat="1" applyFont="1" applyFill="1" applyBorder="1"/>
    <xf numFmtId="168" fontId="16" fillId="2" borderId="2" xfId="0" applyNumberFormat="1" applyFont="1" applyFill="1" applyBorder="1"/>
    <xf numFmtId="0" fontId="14" fillId="4" borderId="0" xfId="0" applyFont="1" applyFill="1" applyAlignment="1">
      <alignment horizontal="center"/>
    </xf>
    <xf numFmtId="166" fontId="14" fillId="4" borderId="3" xfId="0" applyNumberFormat="1" applyFont="1" applyFill="1" applyBorder="1" applyAlignment="1">
      <alignment horizontal="center"/>
    </xf>
    <xf numFmtId="166" fontId="20" fillId="4" borderId="0" xfId="0" applyNumberFormat="1" applyFont="1" applyFill="1" applyAlignment="1">
      <alignment horizontal="center"/>
    </xf>
    <xf numFmtId="166" fontId="14" fillId="4" borderId="0" xfId="0" applyNumberFormat="1" applyFont="1" applyFill="1" applyAlignment="1">
      <alignment horizontal="center"/>
    </xf>
    <xf numFmtId="0" fontId="16" fillId="4" borderId="0" xfId="1" applyFont="1" applyFill="1"/>
    <xf numFmtId="1" fontId="16" fillId="4" borderId="0" xfId="0" applyNumberFormat="1" applyFont="1" applyFill="1" applyAlignment="1">
      <alignment horizontal="center"/>
    </xf>
    <xf numFmtId="168" fontId="16" fillId="4" borderId="0" xfId="0" applyNumberFormat="1" applyFont="1" applyFill="1"/>
    <xf numFmtId="167" fontId="16" fillId="4" borderId="0" xfId="0" applyNumberFormat="1" applyFont="1" applyFill="1"/>
    <xf numFmtId="169" fontId="16" fillId="4" borderId="3" xfId="0" applyNumberFormat="1" applyFont="1" applyFill="1" applyBorder="1"/>
    <xf numFmtId="0" fontId="16" fillId="4" borderId="0" xfId="1" applyFont="1" applyFill="1" applyAlignment="1">
      <alignment horizontal="left" indent="1"/>
    </xf>
    <xf numFmtId="0" fontId="16" fillId="4" borderId="0" xfId="0" applyFont="1" applyFill="1" applyAlignment="1">
      <alignment horizontal="center"/>
    </xf>
    <xf numFmtId="168" fontId="16" fillId="4" borderId="2" xfId="0" applyNumberFormat="1" applyFont="1" applyFill="1" applyBorder="1"/>
    <xf numFmtId="0" fontId="34" fillId="4" borderId="0" xfId="0" applyFont="1" applyFill="1"/>
    <xf numFmtId="0" fontId="23" fillId="4" borderId="12" xfId="0" applyFont="1" applyFill="1" applyBorder="1" applyAlignment="1" applyProtection="1">
      <alignment horizontal="center"/>
      <protection locked="0"/>
    </xf>
    <xf numFmtId="168" fontId="0" fillId="0" borderId="2" xfId="0" applyNumberFormat="1" applyBorder="1"/>
    <xf numFmtId="0" fontId="16" fillId="4" borderId="0" xfId="0" applyFont="1" applyFill="1"/>
    <xf numFmtId="0" fontId="16" fillId="4" borderId="5" xfId="0" applyFont="1" applyFill="1" applyBorder="1"/>
    <xf numFmtId="0" fontId="0" fillId="4" borderId="6" xfId="0" applyFill="1" applyBorder="1"/>
    <xf numFmtId="0" fontId="0" fillId="4" borderId="7" xfId="0" applyFill="1" applyBorder="1"/>
    <xf numFmtId="0" fontId="16" fillId="4" borderId="8" xfId="0" applyFont="1" applyFill="1" applyBorder="1"/>
    <xf numFmtId="0" fontId="0" fillId="4" borderId="9" xfId="0" applyFill="1" applyBorder="1"/>
    <xf numFmtId="15" fontId="14" fillId="4" borderId="8" xfId="0" quotePrefix="1" applyNumberFormat="1" applyFont="1" applyFill="1" applyBorder="1"/>
    <xf numFmtId="0" fontId="0" fillId="4" borderId="8" xfId="0" applyFill="1" applyBorder="1"/>
    <xf numFmtId="0" fontId="21" fillId="4" borderId="0" xfId="0" applyFont="1" applyFill="1" applyAlignment="1">
      <alignment horizontal="center"/>
    </xf>
    <xf numFmtId="0" fontId="16" fillId="4" borderId="3" xfId="0" applyFont="1" applyFill="1" applyBorder="1" applyAlignment="1">
      <alignment horizontal="center"/>
    </xf>
    <xf numFmtId="0" fontId="0" fillId="4" borderId="0" xfId="0" applyFill="1" applyAlignment="1">
      <alignment horizontal="center"/>
    </xf>
    <xf numFmtId="42" fontId="16" fillId="4" borderId="0" xfId="0" applyNumberFormat="1" applyFont="1" applyFill="1"/>
    <xf numFmtId="41" fontId="16" fillId="4" borderId="0" xfId="0" applyNumberFormat="1" applyFont="1" applyFill="1"/>
    <xf numFmtId="41" fontId="0" fillId="4" borderId="0" xfId="0" applyNumberFormat="1" applyFill="1"/>
    <xf numFmtId="0" fontId="16" fillId="4" borderId="8" xfId="0" applyFont="1" applyFill="1" applyBorder="1" applyAlignment="1">
      <alignment horizontal="left" indent="2"/>
    </xf>
    <xf numFmtId="42" fontId="0" fillId="4" borderId="2" xfId="0" applyNumberFormat="1" applyFill="1" applyBorder="1"/>
    <xf numFmtId="15" fontId="22" fillId="4" borderId="8" xfId="0" quotePrefix="1" applyNumberFormat="1" applyFont="1" applyFill="1" applyBorder="1"/>
    <xf numFmtId="0" fontId="0" fillId="4" borderId="11" xfId="0" applyFill="1" applyBorder="1"/>
    <xf numFmtId="0" fontId="0" fillId="4" borderId="3" xfId="0" applyFill="1" applyBorder="1"/>
    <xf numFmtId="0" fontId="0" fillId="4" borderId="10" xfId="0" applyFill="1" applyBorder="1"/>
    <xf numFmtId="0" fontId="0" fillId="4" borderId="8" xfId="0" applyFill="1" applyBorder="1" applyAlignment="1">
      <alignment horizontal="left" indent="2"/>
    </xf>
    <xf numFmtId="169" fontId="0" fillId="4" borderId="0" xfId="0" applyNumberFormat="1" applyFill="1"/>
    <xf numFmtId="169" fontId="0" fillId="4" borderId="3" xfId="0" applyNumberFormat="1" applyFill="1" applyBorder="1"/>
    <xf numFmtId="0" fontId="16" fillId="4" borderId="8" xfId="0" applyFont="1" applyFill="1" applyBorder="1" applyAlignment="1">
      <alignment horizontal="left" indent="3"/>
    </xf>
    <xf numFmtId="168" fontId="0" fillId="4" borderId="2" xfId="0" applyNumberFormat="1" applyFill="1" applyBorder="1"/>
    <xf numFmtId="0" fontId="22" fillId="4" borderId="8" xfId="0" applyFont="1" applyFill="1" applyBorder="1"/>
    <xf numFmtId="0" fontId="16" fillId="4" borderId="11" xfId="0" applyFont="1" applyFill="1" applyBorder="1"/>
    <xf numFmtId="0" fontId="16" fillId="4" borderId="8" xfId="0" quotePrefix="1" applyFont="1" applyFill="1" applyBorder="1"/>
    <xf numFmtId="168" fontId="16" fillId="4" borderId="4" xfId="0" applyNumberFormat="1" applyFont="1" applyFill="1" applyBorder="1"/>
    <xf numFmtId="0" fontId="0" fillId="4" borderId="5" xfId="0" applyFill="1" applyBorder="1"/>
    <xf numFmtId="0" fontId="0" fillId="4" borderId="8" xfId="0" applyFill="1" applyBorder="1" applyAlignment="1">
      <alignment horizontal="center"/>
    </xf>
    <xf numFmtId="15" fontId="0" fillId="4" borderId="0" xfId="0" quotePrefix="1" applyNumberFormat="1" applyFill="1" applyAlignment="1">
      <alignment horizontal="center"/>
    </xf>
    <xf numFmtId="0" fontId="0" fillId="4" borderId="3" xfId="0" applyFill="1" applyBorder="1" applyAlignment="1">
      <alignment horizontal="center"/>
    </xf>
    <xf numFmtId="168" fontId="0" fillId="4" borderId="0" xfId="0" applyNumberFormat="1" applyFill="1"/>
    <xf numFmtId="168" fontId="0" fillId="4" borderId="3" xfId="0" applyNumberFormat="1" applyFill="1" applyBorder="1"/>
    <xf numFmtId="0" fontId="36" fillId="4" borderId="0" xfId="4" applyFont="1" applyFill="1"/>
    <xf numFmtId="0" fontId="37" fillId="2" borderId="0" xfId="0" applyFont="1" applyFill="1"/>
    <xf numFmtId="0" fontId="38" fillId="0" borderId="0" xfId="0" applyFont="1"/>
    <xf numFmtId="0" fontId="6" fillId="0" borderId="0" xfId="0" applyFont="1"/>
    <xf numFmtId="167" fontId="6" fillId="4" borderId="0" xfId="0" applyNumberFormat="1" applyFont="1" applyFill="1" applyProtection="1">
      <protection locked="0"/>
    </xf>
    <xf numFmtId="0" fontId="25" fillId="0" borderId="13" xfId="0" applyFont="1" applyBorder="1" applyAlignment="1">
      <alignment horizontal="centerContinuous"/>
    </xf>
    <xf numFmtId="0" fontId="25" fillId="0" borderId="1" xfId="0" applyFont="1" applyBorder="1" applyAlignment="1">
      <alignment horizontal="centerContinuous"/>
    </xf>
    <xf numFmtId="0" fontId="25" fillId="0" borderId="14" xfId="0" applyFont="1" applyBorder="1" applyAlignment="1">
      <alignment horizontal="centerContinuous"/>
    </xf>
    <xf numFmtId="0" fontId="14" fillId="0" borderId="0" xfId="0" applyFont="1" applyAlignment="1">
      <alignment horizontal="center" wrapText="1"/>
    </xf>
    <xf numFmtId="0" fontId="20" fillId="4" borderId="0" xfId="0" applyFont="1" applyFill="1"/>
    <xf numFmtId="0" fontId="39" fillId="4" borderId="0" xfId="0" applyFont="1" applyFill="1"/>
    <xf numFmtId="0" fontId="28" fillId="0" borderId="1" xfId="0" applyFont="1" applyBorder="1" applyAlignment="1">
      <alignment horizontal="center" wrapText="1"/>
    </xf>
    <xf numFmtId="0" fontId="16" fillId="6" borderId="0" xfId="0" applyFont="1" applyFill="1"/>
    <xf numFmtId="0" fontId="0" fillId="6" borderId="0" xfId="0" applyFill="1"/>
    <xf numFmtId="37" fontId="0" fillId="6" borderId="0" xfId="0" applyNumberFormat="1" applyFill="1"/>
    <xf numFmtId="3" fontId="0" fillId="6" borderId="0" xfId="0" applyNumberFormat="1" applyFill="1"/>
    <xf numFmtId="170" fontId="0" fillId="6" borderId="0" xfId="0" applyNumberFormat="1" applyFill="1"/>
    <xf numFmtId="0" fontId="0" fillId="7" borderId="0" xfId="0" applyFill="1"/>
    <xf numFmtId="37" fontId="0" fillId="7" borderId="0" xfId="0" applyNumberFormat="1" applyFill="1"/>
    <xf numFmtId="0" fontId="16" fillId="7" borderId="0" xfId="0" applyFont="1" applyFill="1"/>
    <xf numFmtId="0" fontId="0" fillId="0" borderId="0" xfId="0" applyAlignment="1">
      <alignment horizontal="center" wrapText="1"/>
    </xf>
    <xf numFmtId="0" fontId="0" fillId="6" borderId="15" xfId="0" applyFill="1" applyBorder="1" applyAlignment="1">
      <alignment horizontal="center"/>
    </xf>
    <xf numFmtId="167" fontId="6" fillId="2" borderId="3" xfId="0" applyNumberFormat="1" applyFont="1" applyFill="1" applyBorder="1"/>
    <xf numFmtId="0" fontId="38" fillId="4" borderId="0" xfId="0" applyFont="1" applyFill="1"/>
    <xf numFmtId="0" fontId="40" fillId="7" borderId="0" xfId="0" applyFont="1" applyFill="1" applyAlignment="1">
      <alignment horizontal="left"/>
    </xf>
    <xf numFmtId="0" fontId="40" fillId="7" borderId="0" xfId="0" applyFont="1" applyFill="1"/>
    <xf numFmtId="0" fontId="42" fillId="4" borderId="0" xfId="0" applyFont="1" applyFill="1" applyAlignment="1">
      <alignment horizontal="left"/>
    </xf>
    <xf numFmtId="0" fontId="43" fillId="4" borderId="0" xfId="0" applyFont="1" applyFill="1" applyAlignment="1">
      <alignment horizontal="left" indent="1"/>
    </xf>
    <xf numFmtId="0" fontId="43" fillId="0" borderId="0" xfId="0" applyFont="1" applyAlignment="1">
      <alignment horizontal="left" indent="1"/>
    </xf>
    <xf numFmtId="1" fontId="16" fillId="0" borderId="0" xfId="0" applyNumberFormat="1" applyFont="1" applyAlignment="1">
      <alignment horizontal="center"/>
    </xf>
    <xf numFmtId="0" fontId="20" fillId="4" borderId="0" xfId="1" applyFont="1" applyFill="1"/>
    <xf numFmtId="0" fontId="22" fillId="4" borderId="0" xfId="1" applyFont="1" applyFill="1" applyAlignment="1">
      <alignment horizontal="left"/>
    </xf>
    <xf numFmtId="166" fontId="15" fillId="2" borderId="0" xfId="0" applyNumberFormat="1" applyFont="1" applyFill="1"/>
    <xf numFmtId="166" fontId="40" fillId="2" borderId="0" xfId="0" applyNumberFormat="1" applyFont="1" applyFill="1"/>
    <xf numFmtId="0" fontId="15" fillId="2" borderId="0" xfId="0" applyFont="1" applyFill="1"/>
    <xf numFmtId="166" fontId="15" fillId="2" borderId="0" xfId="0" quotePrefix="1" applyNumberFormat="1" applyFont="1" applyFill="1"/>
    <xf numFmtId="10" fontId="0" fillId="6" borderId="0" xfId="0" applyNumberFormat="1" applyFill="1"/>
    <xf numFmtId="3" fontId="0" fillId="7" borderId="0" xfId="0" applyNumberFormat="1" applyFill="1"/>
    <xf numFmtId="0" fontId="45" fillId="0" borderId="0" xfId="0" applyFont="1"/>
    <xf numFmtId="43" fontId="16" fillId="8" borderId="0" xfId="2" applyFont="1" applyFill="1" applyBorder="1" applyAlignment="1">
      <alignment horizontal="right"/>
    </xf>
    <xf numFmtId="0" fontId="16" fillId="0" borderId="0" xfId="0" applyFont="1" applyAlignment="1">
      <alignment horizontal="left"/>
    </xf>
    <xf numFmtId="43" fontId="16" fillId="0" borderId="0" xfId="2" applyFont="1" applyFill="1" applyAlignment="1">
      <alignment horizontal="right"/>
    </xf>
    <xf numFmtId="43" fontId="16" fillId="0" borderId="0" xfId="2" applyFont="1" applyFill="1" applyBorder="1" applyAlignment="1">
      <alignment horizontal="right"/>
    </xf>
    <xf numFmtId="171" fontId="14" fillId="0" borderId="4" xfId="2" applyNumberFormat="1" applyFont="1" applyFill="1" applyBorder="1"/>
    <xf numFmtId="171" fontId="44" fillId="0" borderId="0" xfId="0" applyNumberFormat="1" applyFont="1"/>
    <xf numFmtId="171" fontId="44" fillId="8" borderId="0" xfId="0" applyNumberFormat="1" applyFont="1" applyFill="1"/>
    <xf numFmtId="37" fontId="16" fillId="0" borderId="0" xfId="0" applyNumberFormat="1" applyFont="1"/>
    <xf numFmtId="37" fontId="0" fillId="0" borderId="0" xfId="0" applyNumberFormat="1" applyAlignment="1">
      <alignment horizontal="center"/>
    </xf>
    <xf numFmtId="37" fontId="16" fillId="6" borderId="15" xfId="0" applyNumberFormat="1" applyFont="1" applyFill="1" applyBorder="1" applyAlignment="1">
      <alignment horizontal="center"/>
    </xf>
    <xf numFmtId="0" fontId="16" fillId="6" borderId="15" xfId="0" applyFont="1" applyFill="1" applyBorder="1" applyAlignment="1">
      <alignment horizontal="center"/>
    </xf>
    <xf numFmtId="167" fontId="6" fillId="2" borderId="12" xfId="0" applyNumberFormat="1" applyFont="1" applyFill="1" applyBorder="1" applyProtection="1">
      <protection locked="0"/>
    </xf>
    <xf numFmtId="173" fontId="0" fillId="0" borderId="0" xfId="0" applyNumberFormat="1"/>
    <xf numFmtId="171" fontId="16" fillId="0" borderId="0" xfId="2" applyNumberFormat="1" applyFont="1" applyFill="1" applyBorder="1" applyAlignment="1">
      <alignment horizontal="right"/>
    </xf>
    <xf numFmtId="171" fontId="16" fillId="0" borderId="3" xfId="2" applyNumberFormat="1" applyFont="1" applyFill="1" applyBorder="1" applyAlignment="1">
      <alignment horizontal="right"/>
    </xf>
    <xf numFmtId="43" fontId="16" fillId="0" borderId="3" xfId="2" applyFont="1" applyFill="1" applyBorder="1" applyAlignment="1">
      <alignment horizontal="right"/>
    </xf>
    <xf numFmtId="172" fontId="16" fillId="0" borderId="0" xfId="0" applyNumberFormat="1" applyFont="1"/>
    <xf numFmtId="172" fontId="16" fillId="0" borderId="3" xfId="0" applyNumberFormat="1" applyFont="1" applyBorder="1"/>
    <xf numFmtId="0" fontId="16" fillId="0" borderId="0" xfId="0" applyFont="1" applyAlignment="1">
      <alignment horizontal="center" wrapText="1"/>
    </xf>
    <xf numFmtId="0" fontId="16" fillId="0" borderId="1" xfId="0" applyFont="1" applyBorder="1" applyAlignment="1">
      <alignment horizontal="center" wrapText="1"/>
    </xf>
    <xf numFmtId="0" fontId="16" fillId="0" borderId="8" xfId="0" applyFont="1" applyBorder="1"/>
    <xf numFmtId="37" fontId="0" fillId="0" borderId="0" xfId="0" applyNumberFormat="1" applyAlignment="1">
      <alignment horizontal="center" wrapText="1"/>
    </xf>
    <xf numFmtId="168" fontId="14" fillId="0" borderId="0" xfId="0" applyNumberFormat="1" applyFont="1" applyAlignment="1">
      <alignment horizontal="center"/>
    </xf>
    <xf numFmtId="169" fontId="14" fillId="0" borderId="0" xfId="0" applyNumberFormat="1" applyFont="1" applyAlignment="1">
      <alignment horizontal="center"/>
    </xf>
    <xf numFmtId="0" fontId="16" fillId="8" borderId="0" xfId="0" applyFont="1" applyFill="1" applyAlignment="1">
      <alignment horizontal="center"/>
    </xf>
    <xf numFmtId="0" fontId="16" fillId="8" borderId="0" xfId="0" applyFont="1" applyFill="1" applyAlignment="1">
      <alignment horizontal="left"/>
    </xf>
    <xf numFmtId="171" fontId="16" fillId="8" borderId="0" xfId="2" applyNumberFormat="1" applyFont="1" applyFill="1" applyBorder="1" applyAlignment="1">
      <alignment horizontal="right"/>
    </xf>
    <xf numFmtId="171" fontId="16" fillId="8" borderId="3" xfId="2" applyNumberFormat="1" applyFont="1" applyFill="1" applyBorder="1" applyAlignment="1">
      <alignment horizontal="right"/>
    </xf>
    <xf numFmtId="0" fontId="45" fillId="0" borderId="0" xfId="0" applyFont="1" applyAlignment="1">
      <alignment horizontal="center"/>
    </xf>
    <xf numFmtId="170" fontId="45" fillId="0" borderId="0" xfId="0" applyNumberFormat="1" applyFont="1"/>
    <xf numFmtId="0" fontId="35" fillId="0" borderId="0" xfId="4" applyFill="1"/>
    <xf numFmtId="170" fontId="46" fillId="0" borderId="0" xfId="0" applyNumberFormat="1" applyFont="1"/>
    <xf numFmtId="0" fontId="25" fillId="0" borderId="0" xfId="0" applyFont="1" applyAlignment="1">
      <alignment horizontal="left"/>
    </xf>
    <xf numFmtId="0" fontId="47" fillId="8" borderId="0" xfId="0" applyFont="1" applyFill="1" applyAlignment="1">
      <alignment horizontal="center"/>
    </xf>
    <xf numFmtId="0" fontId="47" fillId="8" borderId="0" xfId="0" applyFont="1" applyFill="1" applyAlignment="1">
      <alignment horizontal="left"/>
    </xf>
    <xf numFmtId="0" fontId="35" fillId="0" borderId="0" xfId="4"/>
    <xf numFmtId="0" fontId="6" fillId="4" borderId="0" xfId="0" applyFont="1" applyFill="1" applyAlignment="1">
      <alignment vertical="top" wrapText="1"/>
    </xf>
    <xf numFmtId="0" fontId="0" fillId="4" borderId="0" xfId="0" applyFill="1" applyAlignment="1">
      <alignment vertical="top"/>
    </xf>
    <xf numFmtId="0" fontId="0" fillId="4" borderId="0" xfId="0" applyFill="1" applyAlignment="1">
      <alignment vertical="top" wrapText="1"/>
    </xf>
    <xf numFmtId="0" fontId="6" fillId="4" borderId="0" xfId="0" applyFont="1" applyFill="1" applyAlignment="1">
      <alignment horizontal="left" vertical="top" wrapText="1"/>
    </xf>
    <xf numFmtId="0" fontId="14" fillId="4" borderId="0" xfId="0" quotePrefix="1" applyFont="1" applyFill="1" applyAlignment="1">
      <alignment horizontal="center"/>
    </xf>
    <xf numFmtId="0" fontId="14" fillId="0" borderId="0" xfId="0" applyFont="1" applyAlignment="1">
      <alignment horizontal="center"/>
    </xf>
    <xf numFmtId="0" fontId="0" fillId="0" borderId="0" xfId="0" applyAlignment="1">
      <alignment horizontal="center"/>
    </xf>
    <xf numFmtId="0" fontId="16" fillId="0" borderId="0" xfId="0" applyFont="1" applyAlignment="1">
      <alignment horizontal="center"/>
    </xf>
    <xf numFmtId="0" fontId="14" fillId="0" borderId="0" xfId="0" quotePrefix="1" applyFont="1" applyAlignment="1">
      <alignment horizontal="center"/>
    </xf>
    <xf numFmtId="0" fontId="14" fillId="0" borderId="3" xfId="0" applyFont="1" applyBorder="1" applyAlignment="1">
      <alignment horizontal="center"/>
    </xf>
    <xf numFmtId="0" fontId="14" fillId="0" borderId="3" xfId="0" applyFont="1" applyBorder="1"/>
    <xf numFmtId="0" fontId="2" fillId="0" borderId="0" xfId="10"/>
    <xf numFmtId="169" fontId="16" fillId="0" borderId="0" xfId="0" applyNumberFormat="1" applyFont="1"/>
    <xf numFmtId="168" fontId="16" fillId="0" borderId="0" xfId="0" applyNumberFormat="1" applyFont="1"/>
    <xf numFmtId="165" fontId="19" fillId="0" borderId="0" xfId="0" applyNumberFormat="1" applyFont="1" applyAlignment="1">
      <alignment horizontal="center"/>
    </xf>
    <xf numFmtId="0" fontId="6" fillId="0" borderId="0" xfId="0" applyFont="1" applyAlignment="1">
      <alignment horizontal="center"/>
    </xf>
    <xf numFmtId="167" fontId="6" fillId="0" borderId="0" xfId="0" applyNumberFormat="1" applyFont="1"/>
    <xf numFmtId="0" fontId="7" fillId="0" borderId="0" xfId="0" applyFont="1"/>
    <xf numFmtId="166" fontId="6" fillId="0" borderId="0" xfId="0" applyNumberFormat="1" applyFont="1"/>
    <xf numFmtId="173" fontId="0" fillId="0" borderId="0" xfId="11" applyNumberFormat="1" applyFont="1"/>
    <xf numFmtId="44" fontId="0" fillId="0" borderId="0" xfId="11" applyFont="1"/>
    <xf numFmtId="170" fontId="0" fillId="0" borderId="0" xfId="3" applyNumberFormat="1" applyFont="1"/>
    <xf numFmtId="173" fontId="0" fillId="0" borderId="16" xfId="11" applyNumberFormat="1" applyFont="1" applyBorder="1"/>
    <xf numFmtId="0" fontId="0" fillId="0" borderId="17" xfId="0" applyBorder="1"/>
    <xf numFmtId="173" fontId="0" fillId="0" borderId="18" xfId="11" applyNumberFormat="1" applyFont="1" applyBorder="1"/>
    <xf numFmtId="0" fontId="0" fillId="0" borderId="19" xfId="0" applyBorder="1"/>
    <xf numFmtId="173" fontId="0" fillId="0" borderId="20" xfId="11" applyNumberFormat="1" applyFont="1" applyBorder="1"/>
    <xf numFmtId="174" fontId="0" fillId="0" borderId="0" xfId="0" applyNumberFormat="1"/>
    <xf numFmtId="174" fontId="0" fillId="0" borderId="0" xfId="2" applyNumberFormat="1" applyFont="1"/>
    <xf numFmtId="174" fontId="44" fillId="0" borderId="0" xfId="0" applyNumberFormat="1" applyFont="1"/>
    <xf numFmtId="174" fontId="25" fillId="0" borderId="0" xfId="0" applyNumberFormat="1" applyFont="1"/>
    <xf numFmtId="44" fontId="0" fillId="9" borderId="0" xfId="0" applyNumberFormat="1" applyFill="1"/>
    <xf numFmtId="0" fontId="49" fillId="0" borderId="0" xfId="0" applyFont="1" applyAlignment="1">
      <alignment horizontal="center"/>
    </xf>
    <xf numFmtId="0" fontId="49" fillId="0" borderId="0" xfId="0" applyFont="1"/>
    <xf numFmtId="0" fontId="47" fillId="0" borderId="0" xfId="0" applyFont="1"/>
    <xf numFmtId="171" fontId="47" fillId="8" borderId="0" xfId="2" applyNumberFormat="1" applyFont="1" applyFill="1" applyAlignment="1">
      <alignment horizontal="center"/>
    </xf>
    <xf numFmtId="171" fontId="49" fillId="0" borderId="0" xfId="2" applyNumberFormat="1" applyFont="1"/>
    <xf numFmtId="171" fontId="49" fillId="0" borderId="0" xfId="2" applyNumberFormat="1" applyFont="1" applyFill="1"/>
    <xf numFmtId="171" fontId="49" fillId="0" borderId="3" xfId="2" applyNumberFormat="1" applyFont="1" applyBorder="1"/>
    <xf numFmtId="171" fontId="49" fillId="0" borderId="22" xfId="2" applyNumberFormat="1" applyFont="1" applyBorder="1"/>
    <xf numFmtId="0" fontId="37" fillId="10" borderId="0" xfId="0" applyFont="1" applyFill="1"/>
    <xf numFmtId="171" fontId="0" fillId="0" borderId="0" xfId="0" applyNumberFormat="1"/>
    <xf numFmtId="0" fontId="50" fillId="0" borderId="0" xfId="0" applyFont="1" applyAlignment="1">
      <alignment horizontal="center"/>
    </xf>
    <xf numFmtId="173" fontId="0" fillId="0" borderId="0" xfId="11" applyNumberFormat="1" applyFont="1" applyFill="1"/>
    <xf numFmtId="173" fontId="0" fillId="0" borderId="0" xfId="11" applyNumberFormat="1" applyFont="1" applyBorder="1"/>
    <xf numFmtId="170" fontId="0" fillId="0" borderId="0" xfId="3" applyNumberFormat="1" applyFont="1" applyFill="1"/>
    <xf numFmtId="0" fontId="44" fillId="0" borderId="0" xfId="0" applyFont="1" applyAlignment="1">
      <alignment horizontal="center"/>
    </xf>
    <xf numFmtId="0" fontId="44" fillId="0" borderId="0" xfId="0" applyFont="1"/>
    <xf numFmtId="0" fontId="16" fillId="0" borderId="21" xfId="0" applyFont="1" applyBorder="1"/>
    <xf numFmtId="3" fontId="0" fillId="0" borderId="0" xfId="0" applyNumberFormat="1" applyAlignment="1">
      <alignment horizontal="center"/>
    </xf>
    <xf numFmtId="3" fontId="14" fillId="0" borderId="0" xfId="0" applyNumberFormat="1" applyFont="1" applyAlignment="1">
      <alignment horizontal="center"/>
    </xf>
    <xf numFmtId="3" fontId="0" fillId="0" borderId="0" xfId="2" applyNumberFormat="1" applyFont="1"/>
    <xf numFmtId="3" fontId="14" fillId="0" borderId="0" xfId="2" applyNumberFormat="1" applyFont="1"/>
    <xf numFmtId="43" fontId="0" fillId="0" borderId="0" xfId="0" applyNumberFormat="1"/>
    <xf numFmtId="3" fontId="1" fillId="0" borderId="3" xfId="12" applyNumberFormat="1" applyBorder="1" applyAlignment="1">
      <alignment horizontal="center" wrapText="1"/>
    </xf>
    <xf numFmtId="3" fontId="0" fillId="0" borderId="0" xfId="11" applyNumberFormat="1" applyFont="1"/>
    <xf numFmtId="0" fontId="22" fillId="4" borderId="0" xfId="0" applyFont="1" applyFill="1" applyAlignment="1">
      <alignment horizontal="left"/>
    </xf>
    <xf numFmtId="0" fontId="35" fillId="0" borderId="0" xfId="4" applyAlignment="1"/>
    <xf numFmtId="0" fontId="0" fillId="0" borderId="0" xfId="0"/>
    <xf numFmtId="0" fontId="41" fillId="7" borderId="0" xfId="0" applyFont="1" applyFill="1" applyAlignment="1">
      <alignment horizontal="center"/>
    </xf>
    <xf numFmtId="0" fontId="6" fillId="4" borderId="0" xfId="0" applyFont="1" applyFill="1" applyAlignment="1">
      <alignment horizontal="left" vertical="top" wrapText="1"/>
    </xf>
    <xf numFmtId="0" fontId="0" fillId="4" borderId="0" xfId="0" applyFill="1" applyAlignment="1">
      <alignment vertical="top" wrapText="1"/>
    </xf>
    <xf numFmtId="0" fontId="6" fillId="4" borderId="0" xfId="0" applyFont="1" applyFill="1" applyAlignment="1">
      <alignment vertical="top" wrapText="1"/>
    </xf>
    <xf numFmtId="0" fontId="17" fillId="4" borderId="0" xfId="0" applyFont="1" applyFill="1" applyAlignment="1">
      <alignment horizontal="left" vertical="center"/>
    </xf>
    <xf numFmtId="0" fontId="0" fillId="4" borderId="0" xfId="0" applyFill="1" applyAlignment="1">
      <alignment vertical="center"/>
    </xf>
    <xf numFmtId="0" fontId="0" fillId="4" borderId="0" xfId="0" applyFill="1" applyAlignment="1">
      <alignment vertical="top"/>
    </xf>
    <xf numFmtId="0" fontId="14" fillId="4" borderId="0" xfId="0" quotePrefix="1" applyFont="1" applyFill="1" applyAlignment="1">
      <alignment horizontal="center"/>
    </xf>
    <xf numFmtId="0" fontId="14" fillId="0" borderId="0" xfId="0" applyFont="1" applyAlignment="1">
      <alignment horizontal="center"/>
    </xf>
    <xf numFmtId="0" fontId="16" fillId="4" borderId="0" xfId="1" applyFont="1" applyFill="1" applyAlignment="1">
      <alignment horizontal="left" wrapText="1"/>
    </xf>
    <xf numFmtId="0" fontId="0" fillId="0" borderId="0" xfId="0" applyAlignment="1">
      <alignment horizontal="left" wrapText="1"/>
    </xf>
    <xf numFmtId="0" fontId="0" fillId="0" borderId="0" xfId="0" applyAlignment="1">
      <alignment horizontal="center"/>
    </xf>
    <xf numFmtId="0" fontId="22" fillId="4" borderId="0" xfId="0" applyFont="1" applyFill="1"/>
    <xf numFmtId="0" fontId="22" fillId="7" borderId="8" xfId="0" quotePrefix="1" applyFont="1" applyFill="1" applyBorder="1" applyAlignment="1">
      <alignment horizontal="left" wrapText="1"/>
    </xf>
    <xf numFmtId="0" fontId="22" fillId="7" borderId="0" xfId="0" applyFont="1" applyFill="1"/>
    <xf numFmtId="0" fontId="22" fillId="7" borderId="9" xfId="0" applyFont="1" applyFill="1" applyBorder="1"/>
    <xf numFmtId="0" fontId="22" fillId="4" borderId="8" xfId="0" applyFont="1" applyFill="1" applyBorder="1" applyAlignment="1">
      <alignment wrapText="1"/>
    </xf>
    <xf numFmtId="0" fontId="22" fillId="4" borderId="0" xfId="0" applyFont="1" applyFill="1" applyAlignment="1">
      <alignment wrapText="1"/>
    </xf>
    <xf numFmtId="0" fontId="22" fillId="4" borderId="9" xfId="0" applyFont="1" applyFill="1" applyBorder="1" applyAlignment="1">
      <alignment wrapText="1"/>
    </xf>
    <xf numFmtId="0" fontId="22" fillId="4" borderId="8" xfId="0" applyFont="1" applyFill="1" applyBorder="1" applyAlignment="1">
      <alignment vertical="top" wrapText="1"/>
    </xf>
    <xf numFmtId="0" fontId="0" fillId="4" borderId="9" xfId="0" applyFill="1" applyBorder="1" applyAlignment="1">
      <alignment vertical="top" wrapText="1"/>
    </xf>
    <xf numFmtId="0" fontId="16" fillId="0" borderId="0" xfId="0" applyFont="1" applyAlignment="1">
      <alignment horizontal="center"/>
    </xf>
    <xf numFmtId="0" fontId="0" fillId="0" borderId="0" xfId="0" applyAlignment="1">
      <alignment vertical="top"/>
    </xf>
    <xf numFmtId="0" fontId="0" fillId="0" borderId="0" xfId="0" applyAlignment="1">
      <alignment wrapText="1"/>
    </xf>
    <xf numFmtId="0" fontId="16" fillId="5" borderId="13" xfId="0" applyFont="1" applyFill="1" applyBorder="1" applyAlignment="1">
      <alignment horizontal="center"/>
    </xf>
    <xf numFmtId="0" fontId="16" fillId="5" borderId="1" xfId="0" applyFont="1" applyFill="1" applyBorder="1" applyAlignment="1">
      <alignment horizontal="center"/>
    </xf>
    <xf numFmtId="0" fontId="16" fillId="5" borderId="14" xfId="0" applyFont="1" applyFill="1" applyBorder="1" applyAlignment="1">
      <alignment horizontal="center"/>
    </xf>
    <xf numFmtId="0" fontId="0" fillId="5" borderId="13" xfId="0" applyFill="1" applyBorder="1" applyAlignment="1">
      <alignment horizontal="center"/>
    </xf>
    <xf numFmtId="0" fontId="0" fillId="5" borderId="1" xfId="0" applyFill="1" applyBorder="1" applyAlignment="1">
      <alignment horizontal="center"/>
    </xf>
  </cellXfs>
  <cellStyles count="13">
    <cellStyle name="Comma" xfId="2" builtinId="3"/>
    <cellStyle name="Comma 3" xfId="5" xr:uid="{00000000-0005-0000-0000-000001000000}"/>
    <cellStyle name="Currency" xfId="11" builtinId="4"/>
    <cellStyle name="Hyperlink" xfId="4" builtinId="8"/>
    <cellStyle name="Normal" xfId="0" builtinId="0"/>
    <cellStyle name="Normal 2" xfId="10" xr:uid="{B77999AD-8026-40CD-BE4D-CF135E3A834A}"/>
    <cellStyle name="Normal 3" xfId="6" xr:uid="{00000000-0005-0000-0000-000004000000}"/>
    <cellStyle name="Normal 4" xfId="12" xr:uid="{C497E2F3-4F97-4312-A8FA-A48BEF61A5CD}"/>
    <cellStyle name="Normal 5" xfId="8" xr:uid="{00000000-0005-0000-0000-000005000000}"/>
    <cellStyle name="Normal 5 4" xfId="9" xr:uid="{B47D1F6C-1A08-4A55-AC50-B208009D86F8}"/>
    <cellStyle name="Normal_2006gfa x" xfId="1" xr:uid="{00000000-0005-0000-0000-000006000000}"/>
    <cellStyle name="Percent" xfId="3" builtinId="5"/>
    <cellStyle name="Percent 3" xfId="7" xr:uid="{00000000-0005-0000-0000-000008000000}"/>
  </cellStyles>
  <dxfs count="2">
    <dxf>
      <font>
        <b/>
        <i val="0"/>
        <color rgb="FFFF0000"/>
      </font>
      <fill>
        <patternFill>
          <bgColor rgb="FFFFFF00"/>
        </patternFill>
      </fill>
    </dxf>
    <dxf>
      <font>
        <b/>
        <i val="0"/>
        <color rgb="FFFF0000"/>
      </font>
      <fill>
        <patternFill>
          <bgColor rgb="FFFFFF00"/>
        </patternFill>
      </fill>
    </dxf>
  </dxfs>
  <tableStyles count="0" defaultTableStyle="TableStyleMedium9" defaultPivotStyle="PivotStyleLight16"/>
  <colors>
    <mruColors>
      <color rgb="FFB7FFD8"/>
      <color rgb="FF0000FF"/>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0</xdr:col>
      <xdr:colOff>38100</xdr:colOff>
      <xdr:row>10</xdr:row>
      <xdr:rowOff>66678</xdr:rowOff>
    </xdr:from>
    <xdr:to>
      <xdr:col>2</xdr:col>
      <xdr:colOff>1</xdr:colOff>
      <xdr:row>29</xdr:row>
      <xdr:rowOff>152401</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38100" y="1704978"/>
          <a:ext cx="5191126" cy="3162298"/>
        </a:xfrm>
        <a:prstGeom prst="rect">
          <a:avLst/>
        </a:prstGeom>
        <a:solidFill>
          <a:schemeClr val="bg1">
            <a:lumMod val="9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950">
              <a:latin typeface="Arial" panose="020B0604020202020204" pitchFamily="34" charset="0"/>
              <a:cs typeface="Arial" panose="020B0604020202020204" pitchFamily="34" charset="0"/>
            </a:rPr>
            <a:t>This</a:t>
          </a:r>
          <a:r>
            <a:rPr lang="en-US" sz="950" baseline="0">
              <a:latin typeface="Arial" panose="020B0604020202020204" pitchFamily="34" charset="0"/>
              <a:cs typeface="Arial" panose="020B0604020202020204" pitchFamily="34" charset="0"/>
            </a:rPr>
            <a:t> template automatically generates the GASB 68 journal entries (13th period) and certain note disclosures (see below) for the following component units that participate in the </a:t>
          </a:r>
          <a:r>
            <a:rPr lang="en-US" sz="950" b="1" baseline="0">
              <a:latin typeface="Arial" panose="020B0604020202020204" pitchFamily="34" charset="0"/>
              <a:cs typeface="Arial" panose="020B0604020202020204" pitchFamily="34" charset="0"/>
            </a:rPr>
            <a:t>Teachers' and State Employees' Retirement System </a:t>
          </a:r>
          <a:r>
            <a:rPr lang="en-US" sz="950" baseline="0">
              <a:latin typeface="Arial" panose="020B0604020202020204" pitchFamily="34" charset="0"/>
              <a:cs typeface="Arial" panose="020B0604020202020204" pitchFamily="34" charset="0"/>
            </a:rPr>
            <a:t>(TSERS): </a:t>
          </a:r>
        </a:p>
        <a:p>
          <a:endParaRPr lang="en-US" sz="800" baseline="0">
            <a:latin typeface="Arial" panose="020B0604020202020204" pitchFamily="34" charset="0"/>
            <a:cs typeface="Arial" panose="020B0604020202020204" pitchFamily="34" charset="0"/>
          </a:endParaRPr>
        </a:p>
        <a:p>
          <a:pPr marL="171450" indent="-171450">
            <a:buFont typeface="Arial" panose="020B0604020202020204" pitchFamily="34" charset="0"/>
            <a:buChar char="•"/>
          </a:pPr>
          <a:r>
            <a:rPr lang="en-US" sz="950" baseline="0">
              <a:latin typeface="Arial" panose="020B0604020202020204" pitchFamily="34" charset="0"/>
              <a:cs typeface="Arial" panose="020B0604020202020204" pitchFamily="34" charset="0"/>
            </a:rPr>
            <a:t>University of North Carolina System (19)</a:t>
          </a:r>
        </a:p>
        <a:p>
          <a:pPr marL="171450" indent="-171450">
            <a:buFont typeface="Arial" panose="020B0604020202020204" pitchFamily="34" charset="0"/>
            <a:buChar char="•"/>
          </a:pPr>
          <a:r>
            <a:rPr lang="en-US" sz="950" baseline="0">
              <a:latin typeface="Arial" panose="020B0604020202020204" pitchFamily="34" charset="0"/>
              <a:cs typeface="Arial" panose="020B0604020202020204" pitchFamily="34" charset="0"/>
            </a:rPr>
            <a:t>Community colleges (58)</a:t>
          </a:r>
        </a:p>
        <a:p>
          <a:pPr marL="171450" indent="-171450">
            <a:buFont typeface="Arial" panose="020B0604020202020204" pitchFamily="34" charset="0"/>
            <a:buChar char="•"/>
          </a:pPr>
          <a:r>
            <a:rPr lang="en-US" sz="950" baseline="0">
              <a:latin typeface="Arial" panose="020B0604020202020204" pitchFamily="34" charset="0"/>
              <a:cs typeface="Arial" panose="020B0604020202020204" pitchFamily="34" charset="0"/>
            </a:rPr>
            <a:t>N.C. Housing Finance Agency</a:t>
          </a:r>
        </a:p>
        <a:p>
          <a:pPr marL="171450" indent="-171450">
            <a:buFont typeface="Arial" panose="020B0604020202020204" pitchFamily="34" charset="0"/>
            <a:buChar char="•"/>
          </a:pPr>
          <a:r>
            <a:rPr lang="en-US" sz="950" baseline="0">
              <a:latin typeface="Arial" panose="020B0604020202020204" pitchFamily="34" charset="0"/>
              <a:cs typeface="Arial" panose="020B0604020202020204" pitchFamily="34" charset="0"/>
            </a:rPr>
            <a:t>State Education Assistance Authority</a:t>
          </a:r>
          <a:endParaRPr lang="en-US" sz="950" baseline="30000">
            <a:latin typeface="Arial" panose="020B0604020202020204" pitchFamily="34" charset="0"/>
            <a:cs typeface="Arial" panose="020B0604020202020204" pitchFamily="34" charset="0"/>
          </a:endParaRPr>
        </a:p>
        <a:p>
          <a:pPr marL="171450" indent="-171450">
            <a:buFont typeface="Arial" panose="020B0604020202020204" pitchFamily="34" charset="0"/>
            <a:buChar char="•"/>
          </a:pPr>
          <a:r>
            <a:rPr lang="en-US" sz="950" baseline="0">
              <a:latin typeface="Arial" panose="020B0604020202020204" pitchFamily="34" charset="0"/>
              <a:cs typeface="Arial" panose="020B0604020202020204" pitchFamily="34" charset="0"/>
            </a:rPr>
            <a:t>State Health Plan</a:t>
          </a:r>
          <a:endParaRPr lang="en-US" sz="950" baseline="30000">
            <a:latin typeface="Arial" panose="020B0604020202020204" pitchFamily="34" charset="0"/>
            <a:cs typeface="Arial" panose="020B0604020202020204" pitchFamily="34" charset="0"/>
          </a:endParaRPr>
        </a:p>
        <a:p>
          <a:pPr marL="171450" indent="-171450">
            <a:buFont typeface="Arial" panose="020B0604020202020204" pitchFamily="34" charset="0"/>
            <a:buChar char="•"/>
          </a:pPr>
          <a:r>
            <a:rPr lang="en-US" sz="950" baseline="0">
              <a:latin typeface="Arial" panose="020B0604020202020204" pitchFamily="34" charset="0"/>
              <a:cs typeface="Arial" panose="020B0604020202020204" pitchFamily="34" charset="0"/>
            </a:rPr>
            <a:t>N.C. State Ports Authority</a:t>
          </a:r>
          <a:endParaRPr lang="en-US" sz="950" baseline="30000">
            <a:latin typeface="Arial" panose="020B0604020202020204" pitchFamily="34" charset="0"/>
            <a:cs typeface="Arial" panose="020B0604020202020204" pitchFamily="34" charset="0"/>
          </a:endParaRPr>
        </a:p>
        <a:p>
          <a:pPr marL="171450" indent="-171450">
            <a:buFont typeface="Arial" panose="020B0604020202020204" pitchFamily="34" charset="0"/>
            <a:buChar char="•"/>
          </a:pPr>
          <a:r>
            <a:rPr lang="en-US" sz="950" baseline="0">
              <a:latin typeface="Arial" panose="020B0604020202020204" pitchFamily="34" charset="0"/>
              <a:cs typeface="Arial" panose="020B0604020202020204" pitchFamily="34" charset="0"/>
            </a:rPr>
            <a:t>N.C. Global TransPark Authority</a:t>
          </a:r>
        </a:p>
        <a:p>
          <a:pPr marL="171450" indent="-171450">
            <a:buFont typeface="Arial" panose="020B0604020202020204" pitchFamily="34" charset="0"/>
            <a:buChar char="•"/>
          </a:pPr>
          <a:endParaRPr lang="en-US" sz="800" baseline="0">
            <a:latin typeface="Arial" panose="020B0604020202020204" pitchFamily="34" charset="0"/>
            <a:cs typeface="Arial" panose="020B0604020202020204" pitchFamily="34" charset="0"/>
          </a:endParaRPr>
        </a:p>
        <a:p>
          <a:pPr marL="0" indent="0">
            <a:buFontTx/>
            <a:buNone/>
          </a:pPr>
          <a:r>
            <a:rPr lang="en-US" sz="950" baseline="0">
              <a:latin typeface="Arial" panose="020B0604020202020204" pitchFamily="34" charset="0"/>
              <a:cs typeface="Arial" panose="020B0604020202020204" pitchFamily="34" charset="0"/>
            </a:rPr>
            <a:t>This template provides note disclosures required by GASB 68, paragraphs 80h(1) thru (5), 80i(1), and 80i(2). It also provides information needed to complete package worksheeet 310.</a:t>
          </a:r>
        </a:p>
        <a:p>
          <a:endParaRPr lang="en-US" sz="950" baseline="0">
            <a:latin typeface="Arial" panose="020B0604020202020204" pitchFamily="34" charset="0"/>
            <a:cs typeface="Arial" panose="020B0604020202020204" pitchFamily="34" charset="0"/>
          </a:endParaRPr>
        </a:p>
        <a:p>
          <a:r>
            <a:rPr lang="en-US" sz="950" baseline="0">
              <a:latin typeface="Arial" panose="020B0604020202020204" pitchFamily="34" charset="0"/>
              <a:cs typeface="Arial" panose="020B0604020202020204" pitchFamily="34" charset="0"/>
            </a:rPr>
            <a:t>The pension data in this template was obtained from the Department of State Treasurer. The Office of the State Auditor (OSA) has completed a financial audit of the TSERS Schedule of Employer Allocations and the TSERS Schedule of Pension Amounts by Employer for the year ended June 30, 2024. Component units will report the FY2024 pension allocations for TSERS in their FY2025 financial statements. </a:t>
          </a:r>
          <a:r>
            <a:rPr lang="en-US" sz="950" b="1" u="sng" baseline="0">
              <a:latin typeface="Arial" panose="020B0604020202020204" pitchFamily="34" charset="0"/>
              <a:cs typeface="Arial" panose="020B0604020202020204" pitchFamily="34" charset="0"/>
            </a:rPr>
            <a:t>Each component unit should verify that the pension amounts provided by this template agree with the pension schedules in OSA's audit report (see link below)</a:t>
          </a:r>
          <a:r>
            <a:rPr lang="en-US" sz="950" b="1" baseline="0">
              <a:latin typeface="Arial" panose="020B0604020202020204" pitchFamily="34" charset="0"/>
              <a:cs typeface="Arial" panose="020B0604020202020204" pitchFamily="34" charset="0"/>
            </a:rPr>
            <a:t>.</a:t>
          </a:r>
        </a:p>
        <a:p>
          <a:endParaRPr lang="en-US" sz="1000" b="1" baseline="0">
            <a:latin typeface="Arial" panose="020B0604020202020204" pitchFamily="34" charset="0"/>
            <a:cs typeface="Arial" panose="020B0604020202020204" pitchFamily="34" charset="0"/>
          </a:endParaRPr>
        </a:p>
        <a:p>
          <a:endParaRPr lang="en-US" sz="900" i="1" baseline="0">
            <a:latin typeface="Arial" panose="020B0604020202020204" pitchFamily="34" charset="0"/>
            <a:cs typeface="Arial" panose="020B0604020202020204" pitchFamily="34" charset="0"/>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files.nc.gov/nc-auditor/documents/2025-04/FIN-2024-3400-Pension.pdf" TargetMode="External"/><Relationship Id="rId1" Type="http://schemas.openxmlformats.org/officeDocument/2006/relationships/hyperlink" Target="mailto:virginia.sisson@ncosc.gov"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39"/>
  <sheetViews>
    <sheetView showGridLines="0" tabSelected="1" zoomScale="133" zoomScaleNormal="133" workbookViewId="0">
      <selection activeCell="B5" sqref="B5"/>
    </sheetView>
  </sheetViews>
  <sheetFormatPr defaultRowHeight="13.2" x14ac:dyDescent="0.25"/>
  <cols>
    <col min="1" max="1" width="24.6640625" customWidth="1"/>
    <col min="2" max="2" width="53.6640625" customWidth="1"/>
    <col min="3" max="3" width="46.6640625" customWidth="1"/>
  </cols>
  <sheetData>
    <row r="1" spans="1:4" x14ac:dyDescent="0.25">
      <c r="A1" s="51" t="s">
        <v>0</v>
      </c>
      <c r="B1" s="15"/>
      <c r="C1" s="15"/>
      <c r="D1" s="2"/>
    </row>
    <row r="2" spans="1:4" x14ac:dyDescent="0.25">
      <c r="A2" s="51" t="s">
        <v>1</v>
      </c>
      <c r="B2" s="15"/>
    </row>
    <row r="3" spans="1:4" x14ac:dyDescent="0.25">
      <c r="A3" s="50" t="s">
        <v>548</v>
      </c>
      <c r="B3" s="15"/>
      <c r="C3" s="15"/>
    </row>
    <row r="4" spans="1:4" ht="14.1" customHeight="1" x14ac:dyDescent="0.3">
      <c r="A4" s="50"/>
      <c r="B4" s="15"/>
      <c r="C4" s="53"/>
    </row>
    <row r="5" spans="1:4" ht="13.8" x14ac:dyDescent="0.3">
      <c r="A5" s="54" t="s">
        <v>2</v>
      </c>
      <c r="B5" s="82" t="s">
        <v>161</v>
      </c>
      <c r="C5" s="146" t="s">
        <v>4</v>
      </c>
    </row>
    <row r="6" spans="1:4" ht="12.75" customHeight="1" x14ac:dyDescent="0.25">
      <c r="A6" s="15"/>
      <c r="B6" s="15"/>
      <c r="C6" s="55"/>
    </row>
    <row r="7" spans="1:4" ht="12.75" customHeight="1" x14ac:dyDescent="0.3">
      <c r="A7" s="253" t="s">
        <v>581</v>
      </c>
      <c r="B7" s="253"/>
      <c r="C7" s="147"/>
    </row>
    <row r="8" spans="1:4" ht="39" customHeight="1" x14ac:dyDescent="0.25">
      <c r="A8" s="15"/>
      <c r="B8" s="15"/>
      <c r="C8" s="55"/>
    </row>
    <row r="9" spans="1:4" x14ac:dyDescent="0.25">
      <c r="A9" s="15" t="s">
        <v>5</v>
      </c>
      <c r="B9" s="15">
        <f>VLOOKUP(B5,Data!A:B,2,FALSE)</f>
        <v>20100</v>
      </c>
      <c r="C9" s="56"/>
    </row>
    <row r="10" spans="1:4" ht="13.8" x14ac:dyDescent="0.3">
      <c r="A10" s="84" t="s">
        <v>6</v>
      </c>
      <c r="B10" s="15">
        <f>VLOOKUP(B5,Data!A:X,24,FALSE)</f>
        <v>1</v>
      </c>
      <c r="C10" s="145" t="s">
        <v>7</v>
      </c>
    </row>
    <row r="11" spans="1:4" x14ac:dyDescent="0.25">
      <c r="A11" s="15"/>
      <c r="B11" s="15"/>
      <c r="C11" s="142"/>
    </row>
    <row r="12" spans="1:4" x14ac:dyDescent="0.25">
      <c r="A12" s="15"/>
      <c r="B12" s="15"/>
      <c r="C12" s="15"/>
    </row>
    <row r="13" spans="1:4" x14ac:dyDescent="0.25">
      <c r="A13" s="15"/>
      <c r="B13" s="15"/>
      <c r="C13" s="15"/>
    </row>
    <row r="14" spans="1:4" x14ac:dyDescent="0.25">
      <c r="A14" s="15"/>
      <c r="B14" s="15"/>
      <c r="C14" s="15"/>
    </row>
    <row r="15" spans="1:4" x14ac:dyDescent="0.25">
      <c r="A15" s="15"/>
      <c r="B15" s="15"/>
      <c r="C15" s="15"/>
    </row>
    <row r="16" spans="1:4" x14ac:dyDescent="0.25">
      <c r="A16" s="15"/>
      <c r="B16" s="15"/>
      <c r="C16" s="15"/>
    </row>
    <row r="17" spans="1:3" x14ac:dyDescent="0.25">
      <c r="A17" s="15"/>
      <c r="B17" s="15"/>
      <c r="C17" s="15"/>
    </row>
    <row r="18" spans="1:3" x14ac:dyDescent="0.25">
      <c r="A18" s="15"/>
      <c r="B18" s="15"/>
      <c r="C18" s="15"/>
    </row>
    <row r="19" spans="1:3" x14ac:dyDescent="0.25">
      <c r="A19" s="15"/>
      <c r="B19" s="15"/>
      <c r="C19" s="15"/>
    </row>
    <row r="20" spans="1:3" x14ac:dyDescent="0.25">
      <c r="A20" s="15"/>
      <c r="B20" s="15"/>
      <c r="C20" s="15"/>
    </row>
    <row r="21" spans="1:3" x14ac:dyDescent="0.25">
      <c r="A21" s="15"/>
      <c r="B21" s="15"/>
      <c r="C21" s="15"/>
    </row>
    <row r="22" spans="1:3" x14ac:dyDescent="0.25">
      <c r="A22" s="15"/>
      <c r="B22" s="15"/>
      <c r="C22" s="15"/>
    </row>
    <row r="23" spans="1:3" x14ac:dyDescent="0.25">
      <c r="A23" s="15"/>
      <c r="B23" s="15"/>
      <c r="C23" s="15"/>
    </row>
    <row r="24" spans="1:3" x14ac:dyDescent="0.25">
      <c r="A24" s="15"/>
      <c r="B24" s="15"/>
      <c r="C24" s="15"/>
    </row>
    <row r="25" spans="1:3" x14ac:dyDescent="0.25">
      <c r="A25" s="15"/>
      <c r="B25" s="15"/>
      <c r="C25" s="15"/>
    </row>
    <row r="26" spans="1:3" x14ac:dyDescent="0.25">
      <c r="A26" s="15"/>
      <c r="B26" s="15"/>
      <c r="C26" s="15"/>
    </row>
    <row r="27" spans="1:3" x14ac:dyDescent="0.25">
      <c r="A27" s="15"/>
      <c r="B27" s="15"/>
      <c r="C27" s="15"/>
    </row>
    <row r="28" spans="1:3" x14ac:dyDescent="0.25">
      <c r="A28" s="15"/>
      <c r="B28" s="15"/>
      <c r="C28" s="15"/>
    </row>
    <row r="29" spans="1:3" x14ac:dyDescent="0.25">
      <c r="A29" s="15"/>
      <c r="B29" s="15"/>
      <c r="C29" s="15"/>
    </row>
    <row r="30" spans="1:3" x14ac:dyDescent="0.25">
      <c r="A30" s="15"/>
      <c r="B30" s="15"/>
      <c r="C30" s="15"/>
    </row>
    <row r="31" spans="1:3" x14ac:dyDescent="0.25">
      <c r="A31" s="15"/>
      <c r="B31" s="15"/>
      <c r="C31" s="15"/>
    </row>
    <row r="32" spans="1:3" ht="12.75" customHeight="1" x14ac:dyDescent="0.25">
      <c r="A32" s="128" t="s">
        <v>8</v>
      </c>
      <c r="B32" s="15"/>
      <c r="C32" s="15"/>
    </row>
    <row r="33" spans="1:3" ht="14.1" customHeight="1" x14ac:dyDescent="0.25">
      <c r="A33" s="129" t="s">
        <v>9</v>
      </c>
      <c r="B33" s="15"/>
      <c r="C33" s="15"/>
    </row>
    <row r="34" spans="1:3" ht="12.75" customHeight="1" x14ac:dyDescent="0.25">
      <c r="A34" s="193" t="s">
        <v>549</v>
      </c>
      <c r="C34" s="188"/>
    </row>
    <row r="35" spans="1:3" ht="15.75" customHeight="1" x14ac:dyDescent="0.25">
      <c r="A35" s="119"/>
      <c r="B35" s="15"/>
      <c r="C35" s="15"/>
    </row>
    <row r="36" spans="1:3" ht="12" customHeight="1" x14ac:dyDescent="0.25">
      <c r="A36" s="250" t="s">
        <v>10</v>
      </c>
      <c r="B36" s="250"/>
      <c r="C36" s="15"/>
    </row>
    <row r="37" spans="1:3" ht="12" customHeight="1" x14ac:dyDescent="0.25">
      <c r="A37" s="250" t="s">
        <v>550</v>
      </c>
      <c r="B37" s="250"/>
      <c r="C37" s="15"/>
    </row>
    <row r="38" spans="1:3" ht="12" customHeight="1" x14ac:dyDescent="0.25">
      <c r="A38" s="251" t="s">
        <v>551</v>
      </c>
      <c r="B38" s="252"/>
      <c r="C38" s="15"/>
    </row>
    <row r="39" spans="1:3" x14ac:dyDescent="0.25">
      <c r="A39" s="201"/>
    </row>
  </sheetData>
  <sheetProtection algorithmName="SHA-512" hashValue="5n3QAmjySSoqL1vG7GVEozAjl7uFllEWA1RiHSkYjGhod3R6LqciF5T+MyQUshvLBDeFJAXh+JLs0NsHNLq29Q==" saltValue="7Sfdk24BdMlm+TKYGuAyZg==" spinCount="100000" sheet="1" objects="1" scenarios="1"/>
  <mergeCells count="4">
    <mergeCell ref="A36:B36"/>
    <mergeCell ref="A37:B37"/>
    <mergeCell ref="A38:B38"/>
    <mergeCell ref="A7:B7"/>
  </mergeCells>
  <hyperlinks>
    <hyperlink ref="A38" r:id="rId1" xr:uid="{00000000-0004-0000-0000-000000000000}"/>
    <hyperlink ref="A34" r:id="rId2" xr:uid="{880153D9-F6DE-427E-B4F6-99866C2C6A95}"/>
  </hyperlinks>
  <pageMargins left="0.7" right="0.7" top="0.75" bottom="0.75" header="0.3" footer="0.3"/>
  <pageSetup orientation="portrait" r:id="rId3"/>
  <drawing r:id="rId4"/>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Data!$A$4:$A$88</xm:f>
          </x14:formula1>
          <xm:sqref>B5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M151"/>
  <sheetViews>
    <sheetView showGridLines="0" zoomScale="148" zoomScaleNormal="148" workbookViewId="0">
      <selection activeCell="E21" sqref="E21"/>
    </sheetView>
  </sheetViews>
  <sheetFormatPr defaultColWidth="9.109375" defaultRowHeight="13.2" x14ac:dyDescent="0.25"/>
  <cols>
    <col min="1" max="1" width="4.44140625" style="15" customWidth="1"/>
    <col min="2" max="2" width="50.6640625" style="15" customWidth="1"/>
    <col min="3" max="3" width="7.6640625" style="15" customWidth="1"/>
    <col min="4" max="4" width="3.6640625" style="15" hidden="1" customWidth="1"/>
    <col min="5" max="6" width="10" style="15" bestFit="1" customWidth="1"/>
    <col min="7" max="7" width="40.6640625" style="15" customWidth="1"/>
    <col min="8" max="8" width="16.33203125" style="15" customWidth="1"/>
    <col min="9" max="9" width="14" style="15" customWidth="1"/>
    <col min="10" max="10" width="88.109375" style="15" customWidth="1"/>
    <col min="11" max="16384" width="9.109375" style="15"/>
  </cols>
  <sheetData>
    <row r="1" spans="1:9" x14ac:dyDescent="0.25">
      <c r="A1" s="50" t="str">
        <f>Info!B5</f>
        <v>APPALACHIAN STATE UNIVERSITY</v>
      </c>
    </row>
    <row r="2" spans="1:9" x14ac:dyDescent="0.25">
      <c r="A2" s="50" t="s">
        <v>11</v>
      </c>
    </row>
    <row r="3" spans="1:9" x14ac:dyDescent="0.25">
      <c r="A3" s="50" t="s">
        <v>548</v>
      </c>
    </row>
    <row r="4" spans="1:9" ht="9.9" customHeight="1" x14ac:dyDescent="0.3">
      <c r="A4" s="50"/>
      <c r="G4" s="53"/>
    </row>
    <row r="5" spans="1:9" ht="12" customHeight="1" x14ac:dyDescent="0.3">
      <c r="A5" s="26"/>
      <c r="B5" s="26"/>
      <c r="C5" s="32" t="str">
        <f>IF(Info!B$10=2,"Colleague","NCFS")</f>
        <v>NCFS</v>
      </c>
      <c r="D5" s="26"/>
      <c r="E5" s="26"/>
      <c r="F5" s="26"/>
      <c r="G5" s="26"/>
      <c r="H5" s="26"/>
      <c r="I5" s="26"/>
    </row>
    <row r="6" spans="1:9" ht="12" customHeight="1" x14ac:dyDescent="0.3">
      <c r="A6" s="27" t="s">
        <v>12</v>
      </c>
      <c r="B6" s="27" t="s">
        <v>13</v>
      </c>
      <c r="C6" s="28" t="s">
        <v>14</v>
      </c>
      <c r="D6" s="28" t="s">
        <v>15</v>
      </c>
      <c r="E6" s="28" t="s">
        <v>16</v>
      </c>
      <c r="F6" s="28" t="s">
        <v>17</v>
      </c>
      <c r="G6" s="28" t="s">
        <v>18</v>
      </c>
      <c r="H6" s="28" t="s">
        <v>19</v>
      </c>
      <c r="I6" s="28" t="s">
        <v>20</v>
      </c>
    </row>
    <row r="7" spans="1:9" ht="3" customHeight="1" x14ac:dyDescent="0.3">
      <c r="A7" s="29"/>
      <c r="B7" s="30"/>
      <c r="C7" s="31"/>
      <c r="D7" s="31"/>
      <c r="E7" s="28"/>
      <c r="F7" s="28"/>
      <c r="G7" s="26"/>
      <c r="H7" s="26"/>
      <c r="I7" s="26"/>
    </row>
    <row r="8" spans="1:9" ht="13.8" x14ac:dyDescent="0.3">
      <c r="A8" s="26"/>
      <c r="B8" s="14" t="s">
        <v>21</v>
      </c>
      <c r="C8" s="31"/>
      <c r="D8" s="31"/>
      <c r="E8" s="32"/>
      <c r="F8" s="32"/>
      <c r="G8" s="30"/>
      <c r="H8" s="30"/>
      <c r="I8" s="26"/>
    </row>
    <row r="9" spans="1:9" ht="3.9" customHeight="1" x14ac:dyDescent="0.3">
      <c r="A9" s="26"/>
      <c r="B9" s="33"/>
      <c r="C9" s="31"/>
      <c r="D9" s="31"/>
      <c r="E9" s="32"/>
      <c r="F9" s="32"/>
      <c r="G9" s="30"/>
      <c r="H9" s="30"/>
      <c r="I9" s="26"/>
    </row>
    <row r="10" spans="1:9" ht="13.8" x14ac:dyDescent="0.3">
      <c r="A10" s="34"/>
      <c r="B10" s="30" t="s">
        <v>22</v>
      </c>
      <c r="C10" s="31"/>
      <c r="D10" s="31">
        <v>4</v>
      </c>
      <c r="E10" s="35">
        <f>VLOOKUP(Info!B9,Data!B:AP,32,FALSE)</f>
        <v>4567353</v>
      </c>
      <c r="F10" s="35"/>
      <c r="G10" s="151" t="s">
        <v>23</v>
      </c>
      <c r="H10" s="151"/>
      <c r="I10" s="151"/>
    </row>
    <row r="11" spans="1:9" ht="13.8" x14ac:dyDescent="0.3">
      <c r="A11" s="34"/>
      <c r="B11" s="30" t="s">
        <v>22</v>
      </c>
      <c r="C11" s="31"/>
      <c r="D11" s="31">
        <v>2</v>
      </c>
      <c r="E11" s="35">
        <f>VLOOKUP(Info!B9,Data!B:AP,31,FALSE)</f>
        <v>4321092</v>
      </c>
      <c r="F11" s="35"/>
      <c r="G11" s="151" t="s">
        <v>24</v>
      </c>
      <c r="H11" s="151"/>
      <c r="I11" s="151"/>
    </row>
    <row r="12" spans="1:9" ht="13.8" x14ac:dyDescent="0.3">
      <c r="A12" s="34"/>
      <c r="B12" s="30" t="s">
        <v>22</v>
      </c>
      <c r="C12" s="31"/>
      <c r="D12" s="31">
        <v>3</v>
      </c>
      <c r="E12" s="35">
        <f>VLOOKUP(Info!B9,Data!B:AP,30,FALSE)</f>
        <v>34267346</v>
      </c>
      <c r="F12" s="35"/>
      <c r="G12" s="151" t="s">
        <v>25</v>
      </c>
      <c r="H12" s="151"/>
      <c r="I12" s="151"/>
    </row>
    <row r="13" spans="1:9" ht="13.8" x14ac:dyDescent="0.3">
      <c r="A13" s="34"/>
      <c r="B13" s="30" t="s">
        <v>22</v>
      </c>
      <c r="C13" s="31"/>
      <c r="D13" s="31">
        <v>1</v>
      </c>
      <c r="E13" s="35">
        <f>VLOOKUP(Info!B9,Data!B:AP,29,FALSE)</f>
        <v>10030880</v>
      </c>
      <c r="F13" s="35"/>
      <c r="G13" s="151" t="s">
        <v>26</v>
      </c>
      <c r="H13" s="151"/>
      <c r="I13" s="151"/>
    </row>
    <row r="14" spans="1:9" ht="13.8" x14ac:dyDescent="0.3">
      <c r="A14" s="34"/>
      <c r="B14" s="30" t="s">
        <v>22</v>
      </c>
      <c r="C14" s="31"/>
      <c r="D14" s="31"/>
      <c r="E14" s="35">
        <f>VLOOKUP(Info!B9,Data!B:AP,2,FALSE)+VLOOKUP(Info!B9,Data!B:AP,21,FALSE)</f>
        <v>25012796.400000002</v>
      </c>
      <c r="F14" s="35"/>
      <c r="G14" s="152" t="s">
        <v>555</v>
      </c>
      <c r="H14" s="151"/>
      <c r="I14" s="151" t="s">
        <v>27</v>
      </c>
    </row>
    <row r="15" spans="1:9" ht="13.8" x14ac:dyDescent="0.3">
      <c r="A15" s="34"/>
      <c r="B15" s="36" t="s">
        <v>28</v>
      </c>
      <c r="C15" s="31"/>
      <c r="D15" s="31"/>
      <c r="E15" s="35"/>
      <c r="F15" s="35">
        <f>VLOOKUP(Info!B9,Data!B:AP,28,FALSE)</f>
        <v>123042569</v>
      </c>
      <c r="G15" s="151" t="s">
        <v>29</v>
      </c>
      <c r="H15" s="151"/>
      <c r="I15" s="151"/>
    </row>
    <row r="16" spans="1:9" ht="13.8" x14ac:dyDescent="0.3">
      <c r="A16" s="34"/>
      <c r="B16" s="36" t="s">
        <v>30</v>
      </c>
      <c r="C16" s="31"/>
      <c r="D16" s="31">
        <v>6</v>
      </c>
      <c r="E16" s="35"/>
      <c r="F16" s="35">
        <f>VLOOKUP(Info!B9,Data!B:AP,33,FALSE)</f>
        <v>908141</v>
      </c>
      <c r="G16" s="151" t="s">
        <v>26</v>
      </c>
      <c r="H16" s="151"/>
      <c r="I16" s="151"/>
    </row>
    <row r="17" spans="1:9" ht="13.8" x14ac:dyDescent="0.3">
      <c r="A17" s="34"/>
      <c r="B17" s="36" t="s">
        <v>30</v>
      </c>
      <c r="C17" s="31"/>
      <c r="D17" s="31">
        <v>8</v>
      </c>
      <c r="E17" s="26"/>
      <c r="F17" s="35">
        <f>VLOOKUP(Info!B9,Data!B:AP,34,FALSE)</f>
        <v>0</v>
      </c>
      <c r="G17" s="151" t="s">
        <v>25</v>
      </c>
      <c r="H17" s="151"/>
      <c r="I17" s="151"/>
    </row>
    <row r="18" spans="1:9" ht="13.8" x14ac:dyDescent="0.3">
      <c r="A18" s="34"/>
      <c r="B18" s="36" t="s">
        <v>30</v>
      </c>
      <c r="C18" s="31"/>
      <c r="D18" s="31">
        <v>7</v>
      </c>
      <c r="E18" s="26"/>
      <c r="F18" s="35">
        <f>VLOOKUP(Info!B9,Data!B:AP,35,FALSE)</f>
        <v>0</v>
      </c>
      <c r="G18" s="151" t="s">
        <v>24</v>
      </c>
      <c r="H18" s="151"/>
      <c r="I18" s="151"/>
    </row>
    <row r="19" spans="1:9" ht="13.8" x14ac:dyDescent="0.3">
      <c r="A19" s="34"/>
      <c r="B19" s="36" t="s">
        <v>30</v>
      </c>
      <c r="C19" s="31"/>
      <c r="D19" s="31">
        <v>9</v>
      </c>
      <c r="E19" s="35"/>
      <c r="F19" s="35">
        <f>VLOOKUP(Info!B9,Data!B:AP,36,FALSE)</f>
        <v>510595</v>
      </c>
      <c r="G19" s="151" t="s">
        <v>23</v>
      </c>
      <c r="H19" s="151"/>
      <c r="I19" s="151"/>
    </row>
    <row r="20" spans="1:9" ht="5.0999999999999996" customHeight="1" x14ac:dyDescent="0.3">
      <c r="A20" s="34"/>
      <c r="B20" s="36"/>
      <c r="C20" s="31"/>
      <c r="D20" s="31"/>
      <c r="E20" s="35"/>
      <c r="F20" s="35"/>
      <c r="G20" s="151"/>
      <c r="H20" s="151"/>
      <c r="I20" s="151"/>
    </row>
    <row r="21" spans="1:9" ht="13.8" x14ac:dyDescent="0.3">
      <c r="A21" s="34"/>
      <c r="B21" s="143" t="s">
        <v>552</v>
      </c>
      <c r="C21" s="31"/>
      <c r="D21" s="31"/>
      <c r="E21" s="169">
        <v>0</v>
      </c>
      <c r="F21" s="35"/>
      <c r="G21" s="152" t="s">
        <v>55</v>
      </c>
      <c r="H21" s="151" t="str">
        <f>IF(E21=0,"ERROR – Enter Amount"," ")</f>
        <v>ERROR – Enter Amount</v>
      </c>
      <c r="I21" s="26"/>
    </row>
    <row r="22" spans="1:9" ht="5.0999999999999996" customHeight="1" x14ac:dyDescent="0.3">
      <c r="A22" s="34"/>
      <c r="B22" s="37"/>
      <c r="C22" s="32"/>
      <c r="D22" s="32"/>
      <c r="E22" s="35"/>
      <c r="F22" s="35"/>
      <c r="G22" s="26"/>
      <c r="H22" s="26"/>
      <c r="I22" s="26"/>
    </row>
    <row r="23" spans="1:9" ht="13.8" x14ac:dyDescent="0.3">
      <c r="A23" s="34"/>
      <c r="B23" s="14" t="s">
        <v>31</v>
      </c>
      <c r="C23" s="26"/>
      <c r="D23" s="26"/>
      <c r="E23" s="38"/>
      <c r="F23" s="38"/>
      <c r="G23" s="151"/>
      <c r="H23" s="151"/>
      <c r="I23" s="26"/>
    </row>
    <row r="24" spans="1:9" ht="3" customHeight="1" x14ac:dyDescent="0.3">
      <c r="A24" s="34"/>
      <c r="B24" s="30"/>
      <c r="C24" s="31"/>
      <c r="D24" s="31"/>
      <c r="E24" s="35"/>
      <c r="F24" s="35"/>
      <c r="G24" s="26"/>
      <c r="H24" s="26"/>
      <c r="I24" s="26"/>
    </row>
    <row r="25" spans="1:9" ht="13.8" x14ac:dyDescent="0.3">
      <c r="A25" s="39"/>
      <c r="B25" s="40" t="s">
        <v>32</v>
      </c>
      <c r="C25" s="27"/>
      <c r="D25" s="27"/>
      <c r="E25" s="35"/>
      <c r="F25" s="35"/>
      <c r="G25" s="26"/>
      <c r="H25" s="26"/>
      <c r="I25" s="26"/>
    </row>
    <row r="26" spans="1:9" ht="13.5" customHeight="1" x14ac:dyDescent="0.3">
      <c r="A26" s="34">
        <v>1</v>
      </c>
      <c r="B26" s="30" t="s">
        <v>33</v>
      </c>
      <c r="C26" s="31">
        <f>IF(Info!B$10=2,Summary!R9,Summary!Q9)</f>
        <v>61100008</v>
      </c>
      <c r="D26" s="27"/>
      <c r="E26" s="35">
        <f>IF(E21=0,0,IF(E21&lt;E14,E14-E21,0))</f>
        <v>0</v>
      </c>
      <c r="F26" s="35"/>
      <c r="G26" s="151" t="s">
        <v>556</v>
      </c>
      <c r="H26" s="151"/>
      <c r="I26" s="151"/>
    </row>
    <row r="27" spans="1:9" ht="13.5" customHeight="1" x14ac:dyDescent="0.3">
      <c r="A27" s="39"/>
      <c r="B27" s="30" t="s">
        <v>34</v>
      </c>
      <c r="C27" s="31">
        <f>IF(Info!B$10=2,Summary!R13,Summary!Q13)</f>
        <v>55900000</v>
      </c>
      <c r="D27" s="27"/>
      <c r="E27" s="35">
        <f>F28</f>
        <v>0</v>
      </c>
      <c r="F27" s="35"/>
      <c r="G27" s="151" t="s">
        <v>35</v>
      </c>
      <c r="H27" s="151" t="s">
        <v>36</v>
      </c>
      <c r="I27" s="26"/>
    </row>
    <row r="28" spans="1:9" ht="13.5" customHeight="1" x14ac:dyDescent="0.3">
      <c r="A28" s="39"/>
      <c r="B28" s="36" t="s">
        <v>33</v>
      </c>
      <c r="C28" s="31">
        <f>IF(Info!B$10=2,Summary!R9,Summary!Q9)</f>
        <v>61100008</v>
      </c>
      <c r="D28" s="27"/>
      <c r="E28" s="35"/>
      <c r="F28" s="35">
        <f>IF(E21=0,0,IF(E21&gt;E14,E21-E14,0))</f>
        <v>0</v>
      </c>
      <c r="G28" s="151" t="s">
        <v>556</v>
      </c>
      <c r="H28" s="151"/>
      <c r="I28" s="26"/>
    </row>
    <row r="29" spans="1:9" ht="13.5" customHeight="1" x14ac:dyDescent="0.3">
      <c r="A29" s="39"/>
      <c r="B29" s="36" t="s">
        <v>37</v>
      </c>
      <c r="C29" s="31">
        <f>IF(Info!B$10=2,Summary!R14,Summary!Q14)</f>
        <v>47995000</v>
      </c>
      <c r="D29" s="27"/>
      <c r="E29" s="141"/>
      <c r="F29" s="141">
        <f>E26</f>
        <v>0</v>
      </c>
      <c r="G29" s="151" t="s">
        <v>35</v>
      </c>
      <c r="H29" s="151" t="s">
        <v>36</v>
      </c>
      <c r="I29" s="26"/>
    </row>
    <row r="30" spans="1:9" ht="13.8" x14ac:dyDescent="0.3">
      <c r="A30" s="39"/>
      <c r="B30" s="36" t="s">
        <v>557</v>
      </c>
      <c r="C30" s="27"/>
      <c r="D30" s="27"/>
      <c r="E30" s="42">
        <f>SUM(E26:E29)</f>
        <v>0</v>
      </c>
      <c r="F30" s="42">
        <f>SUM(F26:F29)</f>
        <v>0</v>
      </c>
      <c r="G30" s="26"/>
      <c r="H30" s="26"/>
      <c r="I30" s="26"/>
    </row>
    <row r="31" spans="1:9" ht="3" customHeight="1" x14ac:dyDescent="0.3">
      <c r="A31" s="39"/>
      <c r="B31" s="40"/>
      <c r="C31" s="27"/>
      <c r="D31" s="27"/>
      <c r="E31" s="35"/>
      <c r="F31" s="35"/>
      <c r="G31" s="26"/>
      <c r="H31" s="26"/>
      <c r="I31" s="26"/>
    </row>
    <row r="32" spans="1:9" ht="13.8" x14ac:dyDescent="0.3">
      <c r="A32" s="39"/>
      <c r="B32" s="40" t="s">
        <v>38</v>
      </c>
      <c r="C32" s="27"/>
      <c r="D32" s="27"/>
      <c r="E32" s="35"/>
      <c r="F32" s="35"/>
      <c r="G32" s="26"/>
      <c r="H32" s="26"/>
      <c r="I32" s="26"/>
    </row>
    <row r="33" spans="1:9" ht="13.8" x14ac:dyDescent="0.3">
      <c r="A33" s="34"/>
      <c r="B33" s="30" t="s">
        <v>39</v>
      </c>
      <c r="C33" s="31">
        <f>IF(Info!B$10=2,Summary!R8,Summary!Q8)</f>
        <v>22915000</v>
      </c>
      <c r="D33" s="31"/>
      <c r="E33" s="35">
        <f>IF(VLOOKUP(Info!B9,Data!B:AS,44,FALSE)&lt;0, -VLOOKUP(Info!B9,Data!B:AS,44,FALSE),0)</f>
        <v>3534208</v>
      </c>
      <c r="F33" s="35"/>
      <c r="G33" s="151" t="s">
        <v>40</v>
      </c>
      <c r="H33" s="151" t="s">
        <v>41</v>
      </c>
      <c r="I33" s="153"/>
    </row>
    <row r="34" spans="1:9" ht="13.8" x14ac:dyDescent="0.3">
      <c r="A34" s="34"/>
      <c r="B34" s="30" t="s">
        <v>22</v>
      </c>
      <c r="C34" s="31">
        <f>IF(Info!B$10=2,Summary!R9,Summary!Q9)</f>
        <v>61100008</v>
      </c>
      <c r="D34" s="31">
        <v>1</v>
      </c>
      <c r="E34" s="35">
        <f>IF(VLOOKUP(Info!B9,Data!B:AS,40,FALSE)&gt;0, VLOOKUP(Info!B9,Data!B:AS,40,FALSE),0)</f>
        <v>738899</v>
      </c>
      <c r="F34" s="35"/>
      <c r="G34" s="151" t="s">
        <v>26</v>
      </c>
      <c r="H34" s="151" t="s">
        <v>42</v>
      </c>
      <c r="I34" s="151"/>
    </row>
    <row r="35" spans="1:9" ht="13.8" x14ac:dyDescent="0.3">
      <c r="A35" s="34">
        <v>2</v>
      </c>
      <c r="B35" s="30" t="s">
        <v>30</v>
      </c>
      <c r="C35" s="31">
        <f>IF(Info!B$10=2,Summary!R10,Summary!Q10)</f>
        <v>71100010</v>
      </c>
      <c r="D35" s="31">
        <v>6</v>
      </c>
      <c r="E35" s="35">
        <f>IF(VLOOKUP(Info!B9,Data!B:AS,41,FALSE)&lt;0, -VLOOKUP(Info!B9,Data!B:AS,41,FALSE),0)</f>
        <v>554859</v>
      </c>
      <c r="F35" s="35"/>
      <c r="G35" s="151" t="s">
        <v>26</v>
      </c>
      <c r="H35" s="151" t="s">
        <v>42</v>
      </c>
      <c r="I35" s="151"/>
    </row>
    <row r="36" spans="1:9" ht="13.8" x14ac:dyDescent="0.3">
      <c r="A36" s="26"/>
      <c r="B36" s="30" t="s">
        <v>22</v>
      </c>
      <c r="C36" s="31">
        <f>IF(Info!B$10=2,Summary!R9,Summary!Q9)</f>
        <v>61100008</v>
      </c>
      <c r="D36" s="31">
        <v>2</v>
      </c>
      <c r="E36" s="35">
        <f>IF(VLOOKUP(Info!B9,Data!B:AS,42,FALSE)&gt;0, VLOOKUP(Info!B9,Data!B:AS,42,FALSE),0)</f>
        <v>0</v>
      </c>
      <c r="F36" s="35"/>
      <c r="G36" s="151" t="s">
        <v>24</v>
      </c>
      <c r="H36" s="151" t="s">
        <v>43</v>
      </c>
      <c r="I36" s="153"/>
    </row>
    <row r="37" spans="1:9" ht="13.8" x14ac:dyDescent="0.3">
      <c r="A37" s="26"/>
      <c r="B37" s="30" t="s">
        <v>30</v>
      </c>
      <c r="C37" s="31">
        <f>IF(Info!B$10=2,Summary!R10,Summary!Q10)</f>
        <v>71100010</v>
      </c>
      <c r="D37" s="31">
        <v>7</v>
      </c>
      <c r="E37" s="35">
        <f>IF(VLOOKUP(Info!B9,Data!B:AS,43,FALSE)&lt;0, -VLOOKUP(Info!B9,Data!B:AS,43,FALSE),0)</f>
        <v>0</v>
      </c>
      <c r="F37" s="35"/>
      <c r="G37" s="151" t="s">
        <v>24</v>
      </c>
      <c r="H37" s="151"/>
      <c r="I37" s="153"/>
    </row>
    <row r="38" spans="1:9" ht="13.8" x14ac:dyDescent="0.3">
      <c r="A38" s="34"/>
      <c r="B38" s="30" t="s">
        <v>22</v>
      </c>
      <c r="C38" s="31">
        <f>IF(Info!B$10=2,Summary!R9,Summary!Q9)</f>
        <v>61100008</v>
      </c>
      <c r="D38" s="31">
        <v>4</v>
      </c>
      <c r="E38" s="35">
        <f>IF(VLOOKUP(Info!B9,Data!B:AS,38,FALSE)&gt;0, VLOOKUP(Info!B9,Data!B:AS,38,FALSE),0)</f>
        <v>2512488</v>
      </c>
      <c r="F38" s="35"/>
      <c r="G38" s="151" t="s">
        <v>23</v>
      </c>
      <c r="H38" s="151" t="s">
        <v>44</v>
      </c>
      <c r="I38" s="153"/>
    </row>
    <row r="39" spans="1:9" ht="13.8" x14ac:dyDescent="0.3">
      <c r="A39" s="34"/>
      <c r="B39" s="30" t="s">
        <v>30</v>
      </c>
      <c r="C39" s="31">
        <f>IF(Info!B$10=2,Summary!R10,Summary!Q10)</f>
        <v>71100010</v>
      </c>
      <c r="D39" s="31">
        <v>8</v>
      </c>
      <c r="E39" s="35">
        <f>IF(VLOOKUP(Info!B9,Data!B:AU,46,FALSE)&lt;0, -VLOOKUP(Info!B9,Data!B:AU,46,FALSE),0)</f>
        <v>0</v>
      </c>
      <c r="F39" s="35"/>
      <c r="G39" s="151" t="s">
        <v>25</v>
      </c>
      <c r="H39" s="151" t="s">
        <v>42</v>
      </c>
      <c r="I39" s="153"/>
    </row>
    <row r="40" spans="1:9" ht="13.8" x14ac:dyDescent="0.3">
      <c r="A40" s="34"/>
      <c r="B40" s="30" t="s">
        <v>22</v>
      </c>
      <c r="C40" s="31">
        <f>IF(Info!B$10=2,Summary!R9,Summary!Q9)</f>
        <v>61100008</v>
      </c>
      <c r="D40" s="31">
        <v>3</v>
      </c>
      <c r="E40" s="35">
        <f>IF(VLOOKUP(Info!B9,Data!B:AU,45,FALSE)&gt;0, VLOOKUP(Info!B9,Data!B:AU,45,FALSE),0)</f>
        <v>0</v>
      </c>
      <c r="F40" s="35"/>
      <c r="G40" s="151" t="s">
        <v>25</v>
      </c>
      <c r="H40" s="151" t="s">
        <v>42</v>
      </c>
      <c r="I40" s="153"/>
    </row>
    <row r="41" spans="1:9" ht="13.8" x14ac:dyDescent="0.3">
      <c r="A41" s="34"/>
      <c r="B41" s="30" t="s">
        <v>30</v>
      </c>
      <c r="C41" s="31">
        <f>IF(Info!B$10=2,Summary!R10,Summary!Q10)</f>
        <v>71100010</v>
      </c>
      <c r="D41" s="31">
        <v>9</v>
      </c>
      <c r="E41" s="35">
        <f>IF(VLOOKUP(Info!B9,Data!B:AS,39,FALSE)&lt;0, -VLOOKUP(Info!B9,Data!B:AS,39,FALSE),0)</f>
        <v>321631</v>
      </c>
      <c r="F41" s="35"/>
      <c r="G41" s="151" t="s">
        <v>23</v>
      </c>
      <c r="H41" s="151" t="s">
        <v>44</v>
      </c>
      <c r="I41" s="153"/>
    </row>
    <row r="42" spans="1:9" ht="13.8" x14ac:dyDescent="0.3">
      <c r="A42" s="34"/>
      <c r="B42" s="30" t="s">
        <v>45</v>
      </c>
      <c r="C42" s="31">
        <f>IF(Info!B$10=2,Summary!R11,Summary!Q11)</f>
        <v>51595000</v>
      </c>
      <c r="D42" s="31"/>
      <c r="E42" s="35">
        <f>VLOOKUP(Info!B9,Data!B:AS,15,FALSE)</f>
        <v>36232786</v>
      </c>
      <c r="F42" s="35"/>
      <c r="G42" s="151" t="s">
        <v>46</v>
      </c>
      <c r="H42" s="154" t="s">
        <v>47</v>
      </c>
      <c r="I42" s="151"/>
    </row>
    <row r="43" spans="1:9" ht="13.8" x14ac:dyDescent="0.3">
      <c r="A43" s="34"/>
      <c r="B43" s="36" t="s">
        <v>39</v>
      </c>
      <c r="C43" s="31">
        <f>IF(Info!B$10=2,Summary!R8,Summary!Q8)</f>
        <v>22915000</v>
      </c>
      <c r="D43" s="31"/>
      <c r="E43" s="35"/>
      <c r="F43" s="35">
        <f>IF(VLOOKUP(Info!B9,Data!B:AS,44,FALSE)&gt;0, VLOOKUP(Info!B9,Data!B:AS,44,FALSE),0)</f>
        <v>0</v>
      </c>
      <c r="G43" s="151" t="s">
        <v>40</v>
      </c>
      <c r="H43" s="151" t="s">
        <v>41</v>
      </c>
      <c r="I43" s="151"/>
    </row>
    <row r="44" spans="1:9" ht="13.8" x14ac:dyDescent="0.3">
      <c r="A44" s="34"/>
      <c r="B44" s="36" t="s">
        <v>30</v>
      </c>
      <c r="C44" s="31">
        <f>IF(Info!B$10=2,Summary!R10,Summary!Q10)</f>
        <v>71100010</v>
      </c>
      <c r="D44" s="31">
        <v>6</v>
      </c>
      <c r="E44" s="41"/>
      <c r="F44" s="35">
        <f>IF(VLOOKUP(Info!B9,Data!B:AS,41,FALSE)&gt;0, VLOOKUP(Info!B9,Data!B:AS,41,FALSE),0)</f>
        <v>0</v>
      </c>
      <c r="G44" s="151" t="s">
        <v>26</v>
      </c>
      <c r="H44" s="151" t="s">
        <v>48</v>
      </c>
      <c r="I44" s="26"/>
    </row>
    <row r="45" spans="1:9" ht="13.8" x14ac:dyDescent="0.3">
      <c r="A45" s="34"/>
      <c r="B45" s="36" t="s">
        <v>22</v>
      </c>
      <c r="C45" s="31">
        <f>IF(Info!B$10=2,Summary!R9,Summary!Q9)</f>
        <v>61100008</v>
      </c>
      <c r="D45" s="31">
        <v>1</v>
      </c>
      <c r="E45" s="41"/>
      <c r="F45" s="35">
        <f>IF(VLOOKUP(Info!B9,Data!B:AS,40,FALSE)&lt;0, -VLOOKUP(Info!B9,Data!B:AS,40,FALSE),0)</f>
        <v>0</v>
      </c>
      <c r="G45" s="151" t="s">
        <v>26</v>
      </c>
      <c r="H45" s="151" t="s">
        <v>48</v>
      </c>
      <c r="I45" s="26"/>
    </row>
    <row r="46" spans="1:9" ht="13.8" x14ac:dyDescent="0.3">
      <c r="A46" s="34"/>
      <c r="B46" s="36" t="s">
        <v>30</v>
      </c>
      <c r="C46" s="31">
        <f>IF(Info!B$10=2,Summary!R10,Summary!Q10)</f>
        <v>71100010</v>
      </c>
      <c r="D46" s="31">
        <v>7</v>
      </c>
      <c r="E46" s="41"/>
      <c r="F46" s="35">
        <f>IF(VLOOKUP(Info!B9,Data!B:AS,43,FALSE)&gt;0, VLOOKUP(Info!B9,Data!B:AS,43,FALSE),0)</f>
        <v>0</v>
      </c>
      <c r="G46" s="151" t="s">
        <v>24</v>
      </c>
      <c r="H46" s="151" t="s">
        <v>49</v>
      </c>
      <c r="I46" s="26"/>
    </row>
    <row r="47" spans="1:9" ht="13.8" x14ac:dyDescent="0.3">
      <c r="A47" s="34"/>
      <c r="B47" s="36" t="s">
        <v>22</v>
      </c>
      <c r="C47" s="31">
        <f>IF(Info!B$10=2,Summary!R9,Summary!Q9)</f>
        <v>61100008</v>
      </c>
      <c r="D47" s="31">
        <v>2</v>
      </c>
      <c r="E47" s="41"/>
      <c r="F47" s="35">
        <f>IF(VLOOKUP(Info!B9,Data!B:AS,42,FALSE)&lt;0, -VLOOKUP(Info!B9,Data!B:AS,42,FALSE),0)</f>
        <v>4321092</v>
      </c>
      <c r="G47" s="151" t="s">
        <v>24</v>
      </c>
      <c r="H47" s="151"/>
      <c r="I47" s="26"/>
    </row>
    <row r="48" spans="1:9" ht="13.8" x14ac:dyDescent="0.3">
      <c r="A48" s="34"/>
      <c r="B48" s="36" t="s">
        <v>30</v>
      </c>
      <c r="C48" s="31">
        <f>IF(Info!B$10=2,Summary!R10,Summary!Q10)</f>
        <v>71100010</v>
      </c>
      <c r="D48" s="31">
        <v>9</v>
      </c>
      <c r="E48" s="41"/>
      <c r="F48" s="35">
        <f>IF(VLOOKUP(Info!B9,Data!B:AS,39,FALSE)&gt;0, VLOOKUP(Info!B9,Data!B:AS,39,FALSE),0)</f>
        <v>0</v>
      </c>
      <c r="G48" s="151" t="s">
        <v>23</v>
      </c>
      <c r="H48" s="151" t="s">
        <v>44</v>
      </c>
      <c r="I48" s="26"/>
    </row>
    <row r="49" spans="1:9" ht="13.8" x14ac:dyDescent="0.3">
      <c r="A49" s="34"/>
      <c r="B49" s="36" t="s">
        <v>22</v>
      </c>
      <c r="C49" s="31">
        <f>IF(Info!B$10=2,Summary!R9,Summary!Q9)</f>
        <v>61100008</v>
      </c>
      <c r="D49" s="31">
        <v>4</v>
      </c>
      <c r="E49" s="41"/>
      <c r="F49" s="35">
        <f>IF(VLOOKUP(Info!B9,Data!B:AS,38,FALSE)&lt;0, -VLOOKUP(Info!B9,Data!B:AS,38,FALSE),0)</f>
        <v>0</v>
      </c>
      <c r="G49" s="151" t="s">
        <v>23</v>
      </c>
      <c r="H49" s="151" t="s">
        <v>44</v>
      </c>
      <c r="I49" s="26"/>
    </row>
    <row r="50" spans="1:9" ht="13.8" x14ac:dyDescent="0.3">
      <c r="A50" s="34"/>
      <c r="B50" s="36" t="s">
        <v>30</v>
      </c>
      <c r="C50" s="31">
        <f>IF(Info!B$10=2,Summary!R10,Summary!Q10)</f>
        <v>71100010</v>
      </c>
      <c r="D50" s="31">
        <v>8</v>
      </c>
      <c r="E50" s="41"/>
      <c r="F50" s="35">
        <f>IF(VLOOKUP(Info!B9,Data!B:AU,46,FALSE)&gt;0, VLOOKUP(Info!B9,Data!B:AU,46,FALSE),0)</f>
        <v>0</v>
      </c>
      <c r="G50" s="151" t="s">
        <v>25</v>
      </c>
      <c r="H50" s="151" t="s">
        <v>42</v>
      </c>
      <c r="I50" s="26"/>
    </row>
    <row r="51" spans="1:9" ht="13.8" x14ac:dyDescent="0.3">
      <c r="A51" s="34"/>
      <c r="B51" s="36" t="s">
        <v>22</v>
      </c>
      <c r="C51" s="31">
        <f>IF(Info!B$10=2,Summary!R9,Summary!Q9)</f>
        <v>61100008</v>
      </c>
      <c r="D51" s="31">
        <v>3</v>
      </c>
      <c r="E51" s="41"/>
      <c r="F51" s="35">
        <f>IF(VLOOKUP(Info!B9,Data!B:AU,45,FALSE)&lt;0, -VLOOKUP(Info!B9,Data!B:AU,45,FALSE),0)</f>
        <v>14560983</v>
      </c>
      <c r="G51" s="151" t="s">
        <v>25</v>
      </c>
      <c r="H51" s="151" t="s">
        <v>42</v>
      </c>
      <c r="I51" s="26"/>
    </row>
    <row r="52" spans="1:9" ht="13.8" x14ac:dyDescent="0.3">
      <c r="A52" s="34"/>
      <c r="B52" s="36" t="s">
        <v>22</v>
      </c>
      <c r="C52" s="31">
        <f>IF(Info!B$10=2,Summary!R9,Summary!Q9)</f>
        <v>61100008</v>
      </c>
      <c r="D52" s="31"/>
      <c r="E52" s="41"/>
      <c r="F52" s="35">
        <f>E14</f>
        <v>25012796.400000002</v>
      </c>
      <c r="G52" s="151" t="s">
        <v>50</v>
      </c>
      <c r="H52" s="151" t="s">
        <v>51</v>
      </c>
      <c r="I52" s="151" t="s">
        <v>27</v>
      </c>
    </row>
    <row r="53" spans="1:9" ht="13.8" x14ac:dyDescent="0.3">
      <c r="A53" s="34"/>
      <c r="B53" s="30" t="s">
        <v>52</v>
      </c>
      <c r="C53" s="31"/>
      <c r="D53" s="31"/>
      <c r="E53" s="42">
        <f>SUM(E33:E52)</f>
        <v>43894871</v>
      </c>
      <c r="F53" s="42">
        <f>SUM(F33:F52)</f>
        <v>43894871.400000006</v>
      </c>
      <c r="G53" s="26"/>
      <c r="H53" s="26"/>
      <c r="I53" s="26"/>
    </row>
    <row r="54" spans="1:9" ht="13.8" x14ac:dyDescent="0.3">
      <c r="A54" s="34"/>
      <c r="B54" s="30" t="s">
        <v>53</v>
      </c>
      <c r="C54" s="31"/>
      <c r="D54" s="31"/>
      <c r="E54" s="35"/>
      <c r="F54" s="41"/>
      <c r="G54" s="26"/>
      <c r="H54" s="26"/>
      <c r="I54" s="26"/>
    </row>
    <row r="55" spans="1:9" ht="3" customHeight="1" x14ac:dyDescent="0.3">
      <c r="A55" s="34"/>
      <c r="B55" s="37"/>
      <c r="C55" s="31"/>
      <c r="D55" s="31"/>
      <c r="E55" s="35"/>
      <c r="F55" s="41"/>
      <c r="G55" s="26"/>
      <c r="H55" s="26"/>
      <c r="I55" s="26"/>
    </row>
    <row r="56" spans="1:9" ht="13.8" x14ac:dyDescent="0.3">
      <c r="A56" s="34"/>
      <c r="B56" s="48" t="s">
        <v>54</v>
      </c>
      <c r="C56" s="32"/>
      <c r="D56" s="32"/>
      <c r="E56" s="35"/>
      <c r="F56" s="35"/>
      <c r="G56" s="26"/>
      <c r="H56" s="26"/>
      <c r="I56" s="26"/>
    </row>
    <row r="57" spans="1:9" ht="13.8" x14ac:dyDescent="0.3">
      <c r="A57" s="34">
        <v>3</v>
      </c>
      <c r="B57" s="144" t="s">
        <v>553</v>
      </c>
      <c r="C57" s="31">
        <f>IF(Info!B$10=2,Summary!R9,Summary!Q9)</f>
        <v>61100008</v>
      </c>
      <c r="D57" s="31">
        <v>5</v>
      </c>
      <c r="E57" s="169">
        <v>0</v>
      </c>
      <c r="F57" s="35"/>
      <c r="G57" s="152" t="s">
        <v>55</v>
      </c>
      <c r="H57" s="153" t="str">
        <f>IF(E57=0,"ERROR – Enter Amount"," ")</f>
        <v>ERROR – Enter Amount</v>
      </c>
      <c r="I57" s="26"/>
    </row>
    <row r="58" spans="1:9" ht="13.8" x14ac:dyDescent="0.3">
      <c r="A58" s="34"/>
      <c r="B58" s="36" t="s">
        <v>56</v>
      </c>
      <c r="C58" s="31">
        <f>IF(Info!B$10=2,Summary!R12,Summary!Q12)</f>
        <v>51520000</v>
      </c>
      <c r="D58" s="31"/>
      <c r="E58" s="35"/>
      <c r="F58" s="35">
        <f>E57</f>
        <v>0</v>
      </c>
      <c r="G58" s="151" t="s">
        <v>35</v>
      </c>
      <c r="H58" s="151" t="s">
        <v>57</v>
      </c>
      <c r="I58" s="26"/>
    </row>
    <row r="59" spans="1:9" ht="13.8" x14ac:dyDescent="0.3">
      <c r="A59" s="34"/>
      <c r="B59" s="30" t="s">
        <v>58</v>
      </c>
      <c r="C59" s="31"/>
      <c r="D59" s="31"/>
      <c r="E59" s="42">
        <f>SUM(E57:E58)</f>
        <v>0</v>
      </c>
      <c r="F59" s="42">
        <f>SUM(F57:F58)</f>
        <v>0</v>
      </c>
      <c r="G59" s="26"/>
      <c r="H59" s="26"/>
      <c r="I59" s="26"/>
    </row>
    <row r="60" spans="1:9" ht="12.6" customHeight="1" x14ac:dyDescent="0.3">
      <c r="A60" s="34"/>
      <c r="B60" s="120" t="s">
        <v>59</v>
      </c>
      <c r="C60" s="31"/>
      <c r="D60" s="31"/>
      <c r="E60" s="35"/>
      <c r="F60" s="35"/>
      <c r="G60" s="26"/>
      <c r="H60" s="26"/>
      <c r="I60" s="26"/>
    </row>
    <row r="61" spans="1:9" customFormat="1" ht="12.6" customHeight="1" x14ac:dyDescent="0.3">
      <c r="A61" s="208"/>
      <c r="B61" s="234" t="s">
        <v>554</v>
      </c>
      <c r="C61" s="209"/>
      <c r="D61" s="209"/>
      <c r="E61" s="210"/>
      <c r="F61" s="210"/>
    </row>
    <row r="62" spans="1:9" customFormat="1" ht="13.8" x14ac:dyDescent="0.3">
      <c r="A62" s="208"/>
      <c r="B62" s="211" t="s">
        <v>60</v>
      </c>
      <c r="C62" s="209"/>
      <c r="D62" s="209"/>
      <c r="E62" s="212"/>
      <c r="F62" s="212"/>
    </row>
    <row r="63" spans="1:9" ht="13.8" x14ac:dyDescent="0.3">
      <c r="A63" s="57"/>
      <c r="B63" s="58"/>
      <c r="C63" s="17"/>
      <c r="D63" s="17"/>
      <c r="E63" s="59"/>
      <c r="F63" s="59"/>
    </row>
    <row r="64" spans="1:9" ht="15.9" customHeight="1" x14ac:dyDescent="0.3">
      <c r="A64" s="257" t="s">
        <v>19</v>
      </c>
      <c r="B64" s="258"/>
      <c r="C64" s="17"/>
      <c r="D64" s="17"/>
      <c r="E64" s="59"/>
      <c r="F64" s="59"/>
    </row>
    <row r="65" spans="1:13" ht="54.9" customHeight="1" x14ac:dyDescent="0.25">
      <c r="A65" s="60" t="s">
        <v>61</v>
      </c>
      <c r="B65" s="256" t="s">
        <v>62</v>
      </c>
      <c r="C65" s="256"/>
      <c r="D65" s="256"/>
      <c r="E65" s="256"/>
      <c r="F65" s="256"/>
      <c r="G65" s="256"/>
      <c r="H65" s="195"/>
      <c r="I65" s="196"/>
    </row>
    <row r="66" spans="1:13" ht="6" customHeight="1" x14ac:dyDescent="0.3">
      <c r="A66" s="61"/>
      <c r="B66" s="62"/>
      <c r="C66" s="63"/>
      <c r="D66" s="63"/>
      <c r="E66" s="63"/>
      <c r="F66" s="63"/>
      <c r="G66" s="63"/>
      <c r="H66" s="63"/>
    </row>
    <row r="67" spans="1:13" ht="29.1" customHeight="1" x14ac:dyDescent="0.25">
      <c r="A67" s="60" t="s">
        <v>63</v>
      </c>
      <c r="B67" s="254" t="s">
        <v>64</v>
      </c>
      <c r="C67" s="255"/>
      <c r="D67" s="255"/>
      <c r="E67" s="255"/>
      <c r="F67" s="255"/>
      <c r="G67" s="255"/>
      <c r="H67" s="196"/>
      <c r="I67" s="195"/>
    </row>
    <row r="68" spans="1:13" ht="6" customHeight="1" x14ac:dyDescent="0.3">
      <c r="A68" s="61"/>
      <c r="B68" s="62"/>
      <c r="C68" s="63"/>
      <c r="D68" s="63"/>
      <c r="E68" s="63"/>
      <c r="F68" s="63"/>
      <c r="G68" s="63"/>
      <c r="H68" s="63"/>
    </row>
    <row r="69" spans="1:13" ht="54.9" customHeight="1" x14ac:dyDescent="0.25">
      <c r="A69" s="60" t="s">
        <v>65</v>
      </c>
      <c r="B69" s="256" t="s">
        <v>66</v>
      </c>
      <c r="C69" s="255"/>
      <c r="D69" s="255"/>
      <c r="E69" s="255"/>
      <c r="F69" s="255"/>
      <c r="G69" s="255"/>
      <c r="H69" s="196"/>
      <c r="I69" s="195"/>
    </row>
    <row r="70" spans="1:13" ht="6" customHeight="1" x14ac:dyDescent="0.3">
      <c r="A70" s="61"/>
      <c r="B70" s="195"/>
      <c r="C70" s="195"/>
      <c r="D70" s="195"/>
      <c r="E70" s="195"/>
      <c r="F70" s="195"/>
      <c r="G70" s="195"/>
      <c r="H70" s="195"/>
    </row>
    <row r="71" spans="1:13" ht="15" customHeight="1" x14ac:dyDescent="0.25">
      <c r="A71" s="60" t="s">
        <v>67</v>
      </c>
      <c r="B71" s="254" t="s">
        <v>68</v>
      </c>
      <c r="C71" s="255"/>
      <c r="D71" s="255"/>
      <c r="E71" s="255"/>
      <c r="F71" s="255"/>
      <c r="G71" s="255"/>
      <c r="H71" s="196"/>
      <c r="I71" s="63"/>
    </row>
    <row r="72" spans="1:13" ht="6" customHeight="1" x14ac:dyDescent="0.3">
      <c r="A72" s="61"/>
      <c r="B72" s="63"/>
      <c r="C72" s="195"/>
      <c r="D72" s="195"/>
      <c r="E72" s="195"/>
      <c r="F72" s="195"/>
      <c r="G72" s="195"/>
      <c r="H72" s="195"/>
    </row>
    <row r="73" spans="1:13" ht="54" customHeight="1" x14ac:dyDescent="0.25">
      <c r="A73" s="60" t="s">
        <v>43</v>
      </c>
      <c r="B73" s="256" t="s">
        <v>69</v>
      </c>
      <c r="C73" s="256"/>
      <c r="D73" s="256"/>
      <c r="E73" s="256"/>
      <c r="F73" s="256"/>
      <c r="G73" s="256"/>
      <c r="H73" s="194"/>
    </row>
    <row r="74" spans="1:13" ht="6" customHeight="1" x14ac:dyDescent="0.3">
      <c r="A74" s="61"/>
      <c r="B74" s="195"/>
      <c r="C74" s="195"/>
      <c r="D74" s="195"/>
      <c r="E74" s="195"/>
      <c r="F74" s="195"/>
      <c r="G74" s="195"/>
      <c r="H74" s="195"/>
      <c r="J74" s="20"/>
      <c r="L74" s="21"/>
      <c r="M74" s="21"/>
    </row>
    <row r="75" spans="1:13" ht="81.900000000000006" customHeight="1" x14ac:dyDescent="0.3">
      <c r="A75" s="64" t="s">
        <v>70</v>
      </c>
      <c r="B75" s="256" t="s">
        <v>71</v>
      </c>
      <c r="C75" s="259"/>
      <c r="D75" s="259"/>
      <c r="E75" s="259"/>
      <c r="F75" s="259"/>
      <c r="G75" s="259"/>
      <c r="H75" s="195"/>
      <c r="L75" s="21"/>
      <c r="M75" s="21"/>
    </row>
    <row r="76" spans="1:13" ht="6" customHeight="1" x14ac:dyDescent="0.3">
      <c r="A76" s="61"/>
      <c r="B76" s="195"/>
      <c r="C76" s="195"/>
      <c r="D76" s="195"/>
      <c r="E76" s="195"/>
      <c r="F76" s="195"/>
      <c r="G76" s="195"/>
      <c r="H76" s="195"/>
      <c r="J76" s="20"/>
      <c r="L76" s="21"/>
      <c r="M76" s="21"/>
    </row>
    <row r="77" spans="1:13" ht="95.1" customHeight="1" x14ac:dyDescent="0.3">
      <c r="A77" s="60" t="s">
        <v>72</v>
      </c>
      <c r="B77" s="256" t="s">
        <v>73</v>
      </c>
      <c r="C77" s="255"/>
      <c r="D77" s="255"/>
      <c r="E77" s="255"/>
      <c r="F77" s="255"/>
      <c r="G77" s="255"/>
      <c r="H77" s="196"/>
      <c r="J77" s="20"/>
      <c r="L77" s="21"/>
      <c r="M77" s="21"/>
    </row>
    <row r="78" spans="1:13" ht="6" customHeight="1" x14ac:dyDescent="0.3">
      <c r="A78" s="61"/>
      <c r="B78" s="195"/>
      <c r="C78" s="195"/>
      <c r="D78" s="195"/>
      <c r="E78" s="195"/>
      <c r="F78" s="195"/>
      <c r="G78" s="195"/>
      <c r="H78" s="195"/>
      <c r="J78" s="20"/>
      <c r="L78" s="21"/>
      <c r="M78" s="21"/>
    </row>
    <row r="79" spans="1:13" ht="27" customHeight="1" x14ac:dyDescent="0.3">
      <c r="A79" s="64" t="s">
        <v>74</v>
      </c>
      <c r="B79" s="254" t="s">
        <v>75</v>
      </c>
      <c r="C79" s="255"/>
      <c r="D79" s="255"/>
      <c r="E79" s="255"/>
      <c r="F79" s="255"/>
      <c r="G79" s="255"/>
      <c r="H79" s="196"/>
      <c r="J79" s="20"/>
      <c r="L79" s="21"/>
      <c r="M79" s="21"/>
    </row>
    <row r="80" spans="1:13" ht="6" customHeight="1" x14ac:dyDescent="0.3">
      <c r="A80" s="61"/>
      <c r="B80" s="195"/>
      <c r="C80" s="195"/>
      <c r="D80" s="195"/>
      <c r="E80" s="195"/>
      <c r="F80" s="195"/>
      <c r="G80" s="195"/>
      <c r="H80" s="195"/>
      <c r="J80" s="20"/>
      <c r="L80" s="21"/>
      <c r="M80" s="21"/>
    </row>
    <row r="81" spans="1:13" s="22" customFormat="1" ht="27" customHeight="1" x14ac:dyDescent="0.3">
      <c r="A81" s="64" t="s">
        <v>57</v>
      </c>
      <c r="B81" s="254" t="s">
        <v>76</v>
      </c>
      <c r="C81" s="255"/>
      <c r="D81" s="255"/>
      <c r="E81" s="255"/>
      <c r="F81" s="255"/>
      <c r="G81" s="255"/>
      <c r="H81" s="196"/>
      <c r="J81" s="23"/>
      <c r="L81" s="24"/>
      <c r="M81" s="24"/>
    </row>
    <row r="82" spans="1:13" s="22" customFormat="1" ht="6" customHeight="1" x14ac:dyDescent="0.3">
      <c r="A82" s="64"/>
      <c r="B82" s="197"/>
      <c r="C82" s="196"/>
      <c r="D82" s="196"/>
      <c r="E82" s="196"/>
      <c r="F82" s="196"/>
      <c r="G82" s="196"/>
      <c r="H82" s="196"/>
      <c r="J82" s="23"/>
      <c r="L82" s="24"/>
      <c r="M82" s="24"/>
    </row>
    <row r="83" spans="1:13" ht="42" customHeight="1" x14ac:dyDescent="0.3">
      <c r="A83" s="64" t="s">
        <v>47</v>
      </c>
      <c r="B83" s="254" t="s">
        <v>77</v>
      </c>
      <c r="C83" s="255"/>
      <c r="D83" s="255"/>
      <c r="E83" s="255"/>
      <c r="F83" s="255"/>
      <c r="G83" s="255"/>
      <c r="J83" s="20"/>
      <c r="L83" s="21"/>
      <c r="M83" s="21"/>
    </row>
    <row r="84" spans="1:13" ht="6" customHeight="1" x14ac:dyDescent="0.3">
      <c r="A84" s="64"/>
      <c r="B84" s="197"/>
      <c r="C84" s="196"/>
      <c r="D84" s="196"/>
      <c r="E84" s="196"/>
      <c r="F84" s="196"/>
      <c r="G84" s="196"/>
      <c r="J84" s="20"/>
      <c r="L84" s="21"/>
      <c r="M84" s="21"/>
    </row>
    <row r="85" spans="1:13" ht="30" customHeight="1" x14ac:dyDescent="0.3">
      <c r="A85" s="64"/>
      <c r="B85" s="254"/>
      <c r="C85" s="255"/>
      <c r="D85" s="255"/>
      <c r="E85" s="255"/>
      <c r="F85" s="255"/>
      <c r="G85" s="255"/>
      <c r="J85" s="20"/>
      <c r="L85" s="21"/>
      <c r="M85" s="21"/>
    </row>
    <row r="92" spans="1:13" ht="13.8" x14ac:dyDescent="0.3">
      <c r="C92" s="19"/>
      <c r="D92" s="19"/>
    </row>
    <row r="93" spans="1:13" ht="13.8" x14ac:dyDescent="0.3">
      <c r="C93" s="19"/>
      <c r="D93" s="19"/>
    </row>
    <row r="94" spans="1:13" ht="13.8" x14ac:dyDescent="0.3">
      <c r="C94" s="19"/>
      <c r="D94" s="19"/>
    </row>
    <row r="95" spans="1:13" ht="13.8" x14ac:dyDescent="0.3">
      <c r="C95" s="19"/>
      <c r="D95" s="19"/>
    </row>
    <row r="96" spans="1:13" ht="13.8" x14ac:dyDescent="0.3">
      <c r="C96" s="19"/>
      <c r="D96" s="19"/>
    </row>
    <row r="97" spans="3:4" ht="13.8" x14ac:dyDescent="0.3">
      <c r="C97" s="18"/>
      <c r="D97" s="18"/>
    </row>
    <row r="98" spans="3:4" ht="13.8" x14ac:dyDescent="0.3">
      <c r="C98" s="25"/>
      <c r="D98" s="25"/>
    </row>
    <row r="99" spans="3:4" ht="13.8" x14ac:dyDescent="0.3">
      <c r="C99" s="17"/>
      <c r="D99" s="17"/>
    </row>
    <row r="100" spans="3:4" ht="13.8" x14ac:dyDescent="0.3">
      <c r="C100" s="16"/>
      <c r="D100" s="16"/>
    </row>
    <row r="101" spans="3:4" ht="13.8" x14ac:dyDescent="0.3">
      <c r="C101" s="19"/>
      <c r="D101" s="19"/>
    </row>
    <row r="102" spans="3:4" ht="13.8" x14ac:dyDescent="0.3">
      <c r="C102" s="17"/>
      <c r="D102" s="17"/>
    </row>
    <row r="103" spans="3:4" ht="13.8" x14ac:dyDescent="0.3">
      <c r="C103" s="16"/>
      <c r="D103" s="16"/>
    </row>
    <row r="104" spans="3:4" ht="13.8" x14ac:dyDescent="0.3">
      <c r="C104" s="17"/>
      <c r="D104" s="17"/>
    </row>
    <row r="105" spans="3:4" ht="13.8" x14ac:dyDescent="0.3">
      <c r="C105" s="17"/>
      <c r="D105" s="17"/>
    </row>
    <row r="106" spans="3:4" ht="13.8" x14ac:dyDescent="0.3">
      <c r="C106" s="19"/>
      <c r="D106" s="19"/>
    </row>
    <row r="107" spans="3:4" ht="13.8" x14ac:dyDescent="0.3">
      <c r="C107" s="17"/>
      <c r="D107" s="17"/>
    </row>
    <row r="108" spans="3:4" ht="13.8" x14ac:dyDescent="0.3">
      <c r="C108" s="19"/>
      <c r="D108" s="19"/>
    </row>
    <row r="109" spans="3:4" ht="13.8" x14ac:dyDescent="0.3">
      <c r="C109" s="16"/>
      <c r="D109" s="16"/>
    </row>
    <row r="110" spans="3:4" ht="13.8" x14ac:dyDescent="0.3">
      <c r="C110" s="17"/>
      <c r="D110" s="17"/>
    </row>
    <row r="111" spans="3:4" ht="13.8" x14ac:dyDescent="0.3">
      <c r="C111" s="17"/>
      <c r="D111" s="17"/>
    </row>
    <row r="112" spans="3:4" ht="13.8" x14ac:dyDescent="0.3">
      <c r="C112" s="19"/>
      <c r="D112" s="19"/>
    </row>
    <row r="113" spans="3:4" ht="13.8" x14ac:dyDescent="0.3">
      <c r="C113" s="17"/>
      <c r="D113" s="17"/>
    </row>
    <row r="114" spans="3:4" ht="13.8" x14ac:dyDescent="0.3">
      <c r="C114" s="16"/>
      <c r="D114" s="16"/>
    </row>
    <row r="115" spans="3:4" ht="13.8" x14ac:dyDescent="0.3">
      <c r="C115" s="19"/>
      <c r="D115" s="19"/>
    </row>
    <row r="116" spans="3:4" ht="13.8" x14ac:dyDescent="0.3">
      <c r="C116" s="17"/>
      <c r="D116" s="17"/>
    </row>
    <row r="117" spans="3:4" ht="13.8" x14ac:dyDescent="0.3">
      <c r="C117" s="17"/>
      <c r="D117" s="17"/>
    </row>
    <row r="118" spans="3:4" ht="13.8" x14ac:dyDescent="0.3">
      <c r="C118" s="16"/>
      <c r="D118" s="16"/>
    </row>
    <row r="119" spans="3:4" ht="13.8" x14ac:dyDescent="0.3">
      <c r="C119" s="19"/>
      <c r="D119" s="19"/>
    </row>
    <row r="120" spans="3:4" ht="13.8" x14ac:dyDescent="0.3">
      <c r="C120" s="19"/>
      <c r="D120" s="19"/>
    </row>
    <row r="121" spans="3:4" ht="13.8" x14ac:dyDescent="0.3">
      <c r="C121" s="19"/>
      <c r="D121" s="19"/>
    </row>
    <row r="122" spans="3:4" ht="13.8" x14ac:dyDescent="0.3">
      <c r="C122" s="19"/>
      <c r="D122" s="19"/>
    </row>
    <row r="123" spans="3:4" ht="13.8" x14ac:dyDescent="0.3">
      <c r="C123" s="19"/>
      <c r="D123" s="19"/>
    </row>
    <row r="124" spans="3:4" ht="13.8" x14ac:dyDescent="0.3">
      <c r="C124" s="19"/>
      <c r="D124" s="19"/>
    </row>
    <row r="125" spans="3:4" ht="13.8" x14ac:dyDescent="0.3">
      <c r="C125" s="19"/>
      <c r="D125" s="19"/>
    </row>
    <row r="126" spans="3:4" ht="13.8" x14ac:dyDescent="0.3">
      <c r="C126" s="16"/>
      <c r="D126" s="16"/>
    </row>
    <row r="127" spans="3:4" ht="13.8" x14ac:dyDescent="0.3">
      <c r="C127" s="19"/>
      <c r="D127" s="19"/>
    </row>
    <row r="128" spans="3:4" ht="13.8" x14ac:dyDescent="0.3">
      <c r="C128" s="19"/>
      <c r="D128" s="19"/>
    </row>
    <row r="129" spans="3:4" ht="13.8" x14ac:dyDescent="0.3">
      <c r="C129" s="19"/>
      <c r="D129" s="19"/>
    </row>
    <row r="130" spans="3:4" ht="13.8" x14ac:dyDescent="0.3">
      <c r="C130" s="19"/>
      <c r="D130" s="19"/>
    </row>
    <row r="131" spans="3:4" ht="13.8" x14ac:dyDescent="0.3">
      <c r="C131" s="19"/>
      <c r="D131" s="19"/>
    </row>
    <row r="132" spans="3:4" ht="13.8" x14ac:dyDescent="0.3">
      <c r="C132" s="16"/>
      <c r="D132" s="16"/>
    </row>
    <row r="133" spans="3:4" ht="13.8" x14ac:dyDescent="0.3">
      <c r="C133" s="19"/>
      <c r="D133" s="19"/>
    </row>
    <row r="134" spans="3:4" ht="13.8" x14ac:dyDescent="0.3">
      <c r="C134" s="17"/>
      <c r="D134" s="17"/>
    </row>
    <row r="135" spans="3:4" ht="13.8" x14ac:dyDescent="0.3">
      <c r="C135" s="19"/>
      <c r="D135" s="19"/>
    </row>
    <row r="136" spans="3:4" ht="13.8" x14ac:dyDescent="0.3">
      <c r="C136" s="19"/>
      <c r="D136" s="19"/>
    </row>
    <row r="137" spans="3:4" ht="13.8" x14ac:dyDescent="0.3">
      <c r="C137" s="19"/>
      <c r="D137" s="19"/>
    </row>
    <row r="138" spans="3:4" ht="13.8" x14ac:dyDescent="0.3">
      <c r="C138" s="19"/>
      <c r="D138" s="19"/>
    </row>
    <row r="139" spans="3:4" ht="13.8" x14ac:dyDescent="0.3">
      <c r="C139" s="19"/>
      <c r="D139" s="19"/>
    </row>
    <row r="140" spans="3:4" ht="13.8" x14ac:dyDescent="0.3">
      <c r="C140" s="16"/>
      <c r="D140" s="16"/>
    </row>
    <row r="141" spans="3:4" ht="13.8" x14ac:dyDescent="0.3">
      <c r="C141" s="19"/>
      <c r="D141" s="19"/>
    </row>
    <row r="142" spans="3:4" ht="13.8" x14ac:dyDescent="0.3">
      <c r="C142" s="19"/>
      <c r="D142" s="19"/>
    </row>
    <row r="143" spans="3:4" ht="13.8" x14ac:dyDescent="0.3">
      <c r="C143" s="17"/>
      <c r="D143" s="17"/>
    </row>
    <row r="144" spans="3:4" ht="13.8" x14ac:dyDescent="0.3">
      <c r="C144" s="17"/>
      <c r="D144" s="17"/>
    </row>
    <row r="145" spans="3:4" ht="13.8" x14ac:dyDescent="0.3">
      <c r="C145" s="17"/>
      <c r="D145" s="17"/>
    </row>
    <row r="146" spans="3:4" ht="13.8" x14ac:dyDescent="0.3">
      <c r="C146" s="19"/>
      <c r="D146" s="19"/>
    </row>
    <row r="147" spans="3:4" ht="13.8" x14ac:dyDescent="0.3">
      <c r="C147" s="17"/>
      <c r="D147" s="17"/>
    </row>
    <row r="148" spans="3:4" ht="13.8" x14ac:dyDescent="0.3">
      <c r="C148" s="19"/>
      <c r="D148" s="19"/>
    </row>
    <row r="149" spans="3:4" ht="13.8" x14ac:dyDescent="0.3">
      <c r="C149" s="17"/>
      <c r="D149" s="17"/>
    </row>
    <row r="150" spans="3:4" ht="13.8" x14ac:dyDescent="0.3">
      <c r="C150" s="17"/>
      <c r="D150" s="17"/>
    </row>
    <row r="151" spans="3:4" ht="13.8" x14ac:dyDescent="0.3">
      <c r="C151" s="17"/>
      <c r="D151" s="17"/>
    </row>
  </sheetData>
  <sheetProtection algorithmName="SHA-512" hashValue="i8uPhEncCN61qtha8Gss30DdP9FAYht4v6yonTbMJ5jUAmiqJ2Rj5K7E4QiJfZM0EVmyiglczDBd2z/Q6Cwibw==" saltValue="JSbWPxVfOZVuUVt2NRYxSQ==" spinCount="100000" sheet="1" objects="1" scenarios="1"/>
  <mergeCells count="12">
    <mergeCell ref="A64:B64"/>
    <mergeCell ref="B75:G75"/>
    <mergeCell ref="B69:G69"/>
    <mergeCell ref="B79:G79"/>
    <mergeCell ref="B67:G67"/>
    <mergeCell ref="B65:G65"/>
    <mergeCell ref="B85:G85"/>
    <mergeCell ref="B71:G71"/>
    <mergeCell ref="B83:G83"/>
    <mergeCell ref="B73:G73"/>
    <mergeCell ref="B77:G77"/>
    <mergeCell ref="B81:G81"/>
  </mergeCells>
  <phoneticPr fontId="11" type="noConversion"/>
  <conditionalFormatting sqref="H21">
    <cfRule type="expression" dxfId="1" priority="4">
      <formula>$E$21=0</formula>
    </cfRule>
  </conditionalFormatting>
  <conditionalFormatting sqref="H57">
    <cfRule type="expression" dxfId="0" priority="1">
      <formula>$E$57=0</formula>
    </cfRule>
  </conditionalFormatting>
  <pageMargins left="0.5" right="0.5" top="0.2" bottom="0.2" header="0.5" footer="0.15"/>
  <pageSetup orientation="landscape" r:id="rId1"/>
  <headerFooter alignWithMargins="0"/>
  <rowBreaks count="1" manualBreakCount="1">
    <brk id="63" max="8" man="1"/>
  </rowBreaks>
  <ignoredErrors>
    <ignoredError sqref="C27 C39:C40 C35 C45"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U30"/>
  <sheetViews>
    <sheetView showGridLines="0" zoomScale="187" zoomScaleNormal="187" workbookViewId="0">
      <selection activeCell="A20" sqref="A20"/>
    </sheetView>
  </sheetViews>
  <sheetFormatPr defaultRowHeight="13.2" x14ac:dyDescent="0.25"/>
  <cols>
    <col min="1" max="1" width="36.6640625" customWidth="1"/>
    <col min="2" max="2" width="1.33203125" customWidth="1"/>
    <col min="3" max="3" width="9.88671875" bestFit="1" customWidth="1"/>
    <col min="4" max="4" width="1.33203125" customWidth="1"/>
    <col min="5" max="5" width="15.109375" bestFit="1" customWidth="1"/>
    <col min="6" max="6" width="1.33203125" customWidth="1"/>
    <col min="7" max="7" width="15.109375" bestFit="1" customWidth="1"/>
    <col min="8" max="8" width="1.33203125" customWidth="1"/>
    <col min="9" max="9" width="15.109375" bestFit="1" customWidth="1"/>
    <col min="10" max="10" width="6.6640625" customWidth="1"/>
    <col min="11" max="11" width="12.6640625" customWidth="1"/>
    <col min="12" max="12" width="1.33203125" customWidth="1"/>
    <col min="13" max="13" width="12.6640625" customWidth="1"/>
    <col min="14" max="14" width="1.33203125" customWidth="1"/>
    <col min="15" max="15" width="12.6640625" customWidth="1"/>
    <col min="16" max="16" width="6.6640625" customWidth="1"/>
    <col min="17" max="18" width="9.109375" hidden="1" customWidth="1"/>
  </cols>
  <sheetData>
    <row r="1" spans="1:21" x14ac:dyDescent="0.25">
      <c r="A1" s="50" t="str">
        <f>Info!B5</f>
        <v>APPALACHIAN STATE UNIVERSITY</v>
      </c>
      <c r="B1" s="50"/>
      <c r="C1" s="15"/>
      <c r="D1" s="15"/>
      <c r="E1" s="15"/>
      <c r="F1" s="15"/>
      <c r="G1" s="15"/>
      <c r="H1" s="15"/>
      <c r="I1" s="15"/>
      <c r="K1" s="1"/>
    </row>
    <row r="2" spans="1:21" ht="15" customHeight="1" x14ac:dyDescent="0.25">
      <c r="A2" s="51" t="s">
        <v>11</v>
      </c>
      <c r="B2" s="51"/>
      <c r="C2" s="15"/>
      <c r="D2" s="15"/>
      <c r="E2" s="15"/>
      <c r="F2" s="15"/>
      <c r="H2" s="15"/>
      <c r="I2" s="15"/>
    </row>
    <row r="3" spans="1:21" ht="15" customHeight="1" x14ac:dyDescent="0.25">
      <c r="A3" s="50" t="s">
        <v>548</v>
      </c>
      <c r="B3" s="50"/>
      <c r="C3" s="15"/>
      <c r="D3" s="15"/>
      <c r="E3" s="15"/>
      <c r="F3" s="15"/>
      <c r="G3" s="15"/>
      <c r="H3" s="15"/>
    </row>
    <row r="4" spans="1:21" ht="15" customHeight="1" x14ac:dyDescent="0.3">
      <c r="A4" s="50"/>
      <c r="B4" s="50"/>
      <c r="C4" s="15"/>
      <c r="D4" s="15"/>
      <c r="E4" s="15"/>
      <c r="F4" s="15"/>
      <c r="G4" s="81"/>
      <c r="H4" s="15"/>
    </row>
    <row r="5" spans="1:21" ht="15" customHeight="1" x14ac:dyDescent="0.25">
      <c r="A5" s="50"/>
      <c r="B5" s="50"/>
      <c r="C5" s="15"/>
      <c r="D5" s="15"/>
      <c r="E5" s="15"/>
      <c r="F5" s="15"/>
      <c r="G5" s="15"/>
      <c r="H5" s="15"/>
      <c r="I5" s="65" t="s">
        <v>78</v>
      </c>
      <c r="K5" s="260"/>
      <c r="L5" s="260"/>
      <c r="M5" s="260"/>
      <c r="N5" s="260"/>
      <c r="O5" s="260"/>
      <c r="P5" s="202"/>
      <c r="Q5" s="202"/>
      <c r="R5" s="202"/>
      <c r="S5" s="202"/>
      <c r="T5" s="202"/>
      <c r="U5" s="198"/>
    </row>
    <row r="6" spans="1:21" ht="15" customHeight="1" x14ac:dyDescent="0.25">
      <c r="A6" s="15"/>
      <c r="B6" s="15"/>
      <c r="C6" s="72" t="str">
        <f>IF(Info!B$10=2,"Colleague","NCFS")</f>
        <v>NCFS</v>
      </c>
      <c r="D6" s="15"/>
      <c r="E6" s="15"/>
      <c r="F6" s="15"/>
      <c r="G6" s="15"/>
      <c r="H6" s="15"/>
      <c r="I6" s="65" t="s">
        <v>79</v>
      </c>
      <c r="K6" s="261"/>
      <c r="L6" s="261"/>
      <c r="M6" s="261"/>
      <c r="N6" s="261"/>
      <c r="O6" s="261"/>
      <c r="Q6" s="199"/>
    </row>
    <row r="7" spans="1:21" ht="15" customHeight="1" x14ac:dyDescent="0.25">
      <c r="A7" s="70" t="s">
        <v>13</v>
      </c>
      <c r="B7" s="71"/>
      <c r="C7" s="70" t="s">
        <v>14</v>
      </c>
      <c r="D7" s="72"/>
      <c r="E7" s="70" t="s">
        <v>16</v>
      </c>
      <c r="F7" s="72"/>
      <c r="G7" s="70" t="s">
        <v>17</v>
      </c>
      <c r="H7" s="72"/>
      <c r="I7" s="66" t="s">
        <v>80</v>
      </c>
      <c r="J7" s="3"/>
      <c r="K7" s="69"/>
      <c r="L7" s="69"/>
      <c r="M7" s="69"/>
      <c r="N7" s="69"/>
      <c r="O7" s="69"/>
      <c r="P7" s="199"/>
      <c r="Q7" s="203" t="s">
        <v>81</v>
      </c>
      <c r="R7" s="204" t="s">
        <v>82</v>
      </c>
    </row>
    <row r="8" spans="1:21" ht="15" customHeight="1" x14ac:dyDescent="0.3">
      <c r="A8" s="73" t="s">
        <v>39</v>
      </c>
      <c r="B8" s="73"/>
      <c r="C8" s="74">
        <f>IF(Info!B$10=2,Summary!R8,Summary!Q8)</f>
        <v>22915000</v>
      </c>
      <c r="D8" s="74"/>
      <c r="E8" s="75">
        <f>SUMIF(Detail!$C$25:$C$61,$C8,Detail!E$25:E$61)</f>
        <v>3534208</v>
      </c>
      <c r="F8" s="76"/>
      <c r="G8" s="75">
        <f>SUMIF(Detail!$C$25:$C$61,$C8,Detail!F$25:F$61)</f>
        <v>0</v>
      </c>
      <c r="H8" s="76"/>
      <c r="I8" s="43">
        <f t="shared" ref="I8:I15" si="0">E8-G8</f>
        <v>3534208</v>
      </c>
      <c r="J8" s="180"/>
      <c r="K8" s="75"/>
      <c r="L8" s="75"/>
      <c r="M8" s="75"/>
      <c r="O8" s="75"/>
      <c r="Q8" s="205">
        <v>22915000</v>
      </c>
      <c r="R8">
        <v>242080</v>
      </c>
    </row>
    <row r="9" spans="1:21" ht="15" customHeight="1" x14ac:dyDescent="0.3">
      <c r="A9" s="73" t="s">
        <v>22</v>
      </c>
      <c r="B9" s="73"/>
      <c r="C9" s="74">
        <f>IF(Info!B$10=2,Summary!R9,Summary!Q9)</f>
        <v>61100008</v>
      </c>
      <c r="D9" s="74"/>
      <c r="E9" s="47">
        <f>SUMIF(Detail!$C$25:$C$61,$C9,Detail!E$25:E$61)</f>
        <v>3251387</v>
      </c>
      <c r="F9" s="76"/>
      <c r="G9" s="47">
        <f>SUMIF(Detail!$C$25:$C$61,$C9,Detail!F$25:F$61)</f>
        <v>43894871.400000006</v>
      </c>
      <c r="H9" s="76"/>
      <c r="I9" s="44">
        <f t="shared" ref="I9" si="1">E9-G9</f>
        <v>-40643484.400000006</v>
      </c>
      <c r="J9" s="181"/>
      <c r="K9" s="47"/>
      <c r="L9" s="47"/>
      <c r="M9" s="47"/>
      <c r="O9" s="47"/>
      <c r="Q9" s="205">
        <v>61100008</v>
      </c>
      <c r="R9">
        <v>124090</v>
      </c>
    </row>
    <row r="10" spans="1:21" ht="15" customHeight="1" x14ac:dyDescent="0.3">
      <c r="A10" s="73" t="s">
        <v>30</v>
      </c>
      <c r="B10" s="73"/>
      <c r="C10" s="74">
        <f>IF(Info!B$10=2,Summary!R10,Summary!Q10)</f>
        <v>71100010</v>
      </c>
      <c r="D10" s="74"/>
      <c r="E10" s="47">
        <f>SUMIF(Detail!$C$25:$C$61,$C10,Detail!E$25:E$61)</f>
        <v>876490</v>
      </c>
      <c r="F10" s="76"/>
      <c r="G10" s="47">
        <f>SUMIF(Detail!$C$25:$C$61,$C10,Detail!F$25:F$61)</f>
        <v>0</v>
      </c>
      <c r="H10" s="76"/>
      <c r="I10" s="44">
        <f t="shared" ref="I10" si="2">E10-G10</f>
        <v>876490</v>
      </c>
      <c r="J10" s="181"/>
      <c r="K10" s="47"/>
      <c r="L10" s="47"/>
      <c r="M10" s="47"/>
      <c r="O10" s="47"/>
      <c r="Q10" s="205">
        <v>71100010</v>
      </c>
      <c r="R10">
        <v>242090</v>
      </c>
    </row>
    <row r="11" spans="1:21" ht="15" customHeight="1" x14ac:dyDescent="0.3">
      <c r="A11" s="73" t="s">
        <v>45</v>
      </c>
      <c r="B11" s="73"/>
      <c r="C11" s="74">
        <f>IF(Info!B$10=2,Summary!R11,Summary!Q11)</f>
        <v>51595000</v>
      </c>
      <c r="D11" s="74"/>
      <c r="E11" s="47">
        <f>SUMIF(Detail!$C$25:$C$61,$C11,Detail!E$25:E$61)</f>
        <v>36232786</v>
      </c>
      <c r="F11" s="76"/>
      <c r="G11" s="47">
        <f>SUMIF(Detail!$C$25:$C$61,$C11,Detail!F$25:F$61)</f>
        <v>0</v>
      </c>
      <c r="H11" s="76"/>
      <c r="I11" s="44">
        <f t="shared" si="0"/>
        <v>36232786</v>
      </c>
      <c r="J11" s="181"/>
      <c r="K11" s="47"/>
      <c r="L11" s="47"/>
      <c r="M11" s="47"/>
      <c r="O11" s="47"/>
      <c r="Q11" s="205">
        <v>51595000</v>
      </c>
      <c r="R11">
        <v>518250</v>
      </c>
    </row>
    <row r="12" spans="1:21" ht="15" customHeight="1" x14ac:dyDescent="0.3">
      <c r="A12" s="73" t="s">
        <v>56</v>
      </c>
      <c r="B12" s="73"/>
      <c r="C12" s="74">
        <f>IF(Info!B$10=2,Summary!R12,Summary!Q12)</f>
        <v>51520000</v>
      </c>
      <c r="D12" s="74"/>
      <c r="E12" s="47">
        <f>SUMIF(Detail!$C$25:$C$61,$C12,Detail!E$25:E$61)</f>
        <v>0</v>
      </c>
      <c r="F12" s="76"/>
      <c r="G12" s="47">
        <f>SUMIF(Detail!$C$25:$C$61,$C12,Detail!F$25:F$61)</f>
        <v>0</v>
      </c>
      <c r="H12" s="76"/>
      <c r="I12" s="44">
        <f t="shared" si="0"/>
        <v>0</v>
      </c>
      <c r="J12" s="181"/>
      <c r="K12" s="47"/>
      <c r="L12" s="47"/>
      <c r="M12" s="47"/>
      <c r="O12" s="47"/>
      <c r="Q12" s="205">
        <v>51520000</v>
      </c>
      <c r="R12">
        <v>518200</v>
      </c>
    </row>
    <row r="13" spans="1:21" ht="15" customHeight="1" x14ac:dyDescent="0.3">
      <c r="A13" s="73" t="s">
        <v>83</v>
      </c>
      <c r="B13" s="73"/>
      <c r="C13" s="74">
        <f>IF(Info!B$10=2,Summary!R13,Summary!Q13)</f>
        <v>55900000</v>
      </c>
      <c r="D13" s="74"/>
      <c r="E13" s="47">
        <f>SUMIF(Detail!$C$25:$C$61,$C13,Detail!E$25:E$61)</f>
        <v>0</v>
      </c>
      <c r="F13" s="76"/>
      <c r="G13" s="47">
        <f>SUMIF(Detail!$C$25:$C$61,$C13,Detail!F$25:F$61)</f>
        <v>0</v>
      </c>
      <c r="H13" s="76"/>
      <c r="I13" s="44">
        <f t="shared" si="0"/>
        <v>0</v>
      </c>
      <c r="J13" s="181"/>
      <c r="K13" s="47"/>
      <c r="L13" s="47"/>
      <c r="M13" s="47"/>
      <c r="O13" s="47"/>
      <c r="Q13" s="205">
        <v>55900000</v>
      </c>
      <c r="R13">
        <v>539600</v>
      </c>
    </row>
    <row r="14" spans="1:21" ht="15" customHeight="1" x14ac:dyDescent="0.3">
      <c r="A14" s="73" t="s">
        <v>84</v>
      </c>
      <c r="B14" s="73"/>
      <c r="C14" s="148">
        <f>IF(Info!B$10=2,Summary!R14,Summary!Q14)</f>
        <v>47995000</v>
      </c>
      <c r="D14" s="74"/>
      <c r="E14" s="47">
        <f>SUMIF(Detail!$C$25:$C$61,$C14,Detail!E$25:E$61)</f>
        <v>0</v>
      </c>
      <c r="F14" s="76"/>
      <c r="G14" s="47">
        <f>SUMIF(Detail!$C$25:$C$61,$C14,Detail!F$25:F$61)</f>
        <v>0</v>
      </c>
      <c r="H14" s="76"/>
      <c r="I14" s="44">
        <f t="shared" si="0"/>
        <v>0</v>
      </c>
      <c r="J14" s="181"/>
      <c r="K14" s="47"/>
      <c r="L14" s="47"/>
      <c r="M14" s="47"/>
      <c r="O14" s="47"/>
      <c r="Q14" s="205">
        <v>47995000</v>
      </c>
      <c r="R14">
        <v>493200</v>
      </c>
    </row>
    <row r="15" spans="1:21" ht="15" hidden="1" customHeight="1" x14ac:dyDescent="0.3">
      <c r="A15" s="73" t="s">
        <v>85</v>
      </c>
      <c r="B15" s="73"/>
      <c r="C15" s="74">
        <f>IF(Info!B$10=2,Summary!R15,Summary!Q15)</f>
        <v>32000100</v>
      </c>
      <c r="D15" s="74"/>
      <c r="E15" s="47">
        <f>SUMIF(Detail!$C$25:$C$61,$C15,Detail!E$25:E$61)</f>
        <v>0</v>
      </c>
      <c r="F15" s="76"/>
      <c r="G15" s="47">
        <f>SUMIF(Detail!$C$25:$C$61,$C15,Detail!F$25:F$61)</f>
        <v>0</v>
      </c>
      <c r="H15" s="76"/>
      <c r="I15" s="67">
        <f t="shared" si="0"/>
        <v>0</v>
      </c>
      <c r="J15" s="181"/>
      <c r="K15" s="47"/>
      <c r="L15" s="47"/>
      <c r="M15" s="47"/>
      <c r="N15" s="47"/>
      <c r="O15" s="47"/>
      <c r="P15" s="206"/>
      <c r="Q15" s="205">
        <v>32000100</v>
      </c>
      <c r="R15">
        <v>379000</v>
      </c>
    </row>
    <row r="16" spans="1:21" ht="15" customHeight="1" thickBot="1" x14ac:dyDescent="0.3">
      <c r="A16" s="78" t="s">
        <v>86</v>
      </c>
      <c r="B16" s="78"/>
      <c r="C16" s="79"/>
      <c r="D16" s="79"/>
      <c r="E16" s="80">
        <f>SUM(E8:E15)</f>
        <v>43894871</v>
      </c>
      <c r="F16" s="76"/>
      <c r="G16" s="80">
        <f>SUM(G8:G15)</f>
        <v>43894871.400000006</v>
      </c>
      <c r="H16" s="76"/>
      <c r="I16" s="68">
        <f>SUM(I8:I15)</f>
        <v>-0.40000000596046448</v>
      </c>
      <c r="J16" s="180"/>
      <c r="K16" s="75"/>
      <c r="L16" s="75"/>
      <c r="M16" s="75"/>
      <c r="N16" s="75"/>
      <c r="O16" s="75"/>
      <c r="P16" s="207"/>
    </row>
    <row r="17" spans="1:9" ht="15" customHeight="1" thickTop="1" x14ac:dyDescent="0.25"/>
    <row r="18" spans="1:9" ht="15" customHeight="1" x14ac:dyDescent="0.25">
      <c r="A18" s="149" t="s">
        <v>87</v>
      </c>
    </row>
    <row r="19" spans="1:9" ht="105" customHeight="1" x14ac:dyDescent="0.25">
      <c r="A19" s="262" t="s">
        <v>558</v>
      </c>
      <c r="B19" s="263"/>
      <c r="C19" s="263"/>
      <c r="D19" s="263"/>
      <c r="E19" s="263"/>
      <c r="F19" s="263"/>
      <c r="G19" s="263"/>
      <c r="H19" s="263"/>
      <c r="I19" s="263"/>
    </row>
    <row r="20" spans="1:9" ht="9.9" customHeight="1" x14ac:dyDescent="0.25"/>
    <row r="27" spans="1:9" x14ac:dyDescent="0.25">
      <c r="A27" s="150"/>
    </row>
    <row r="28" spans="1:9" x14ac:dyDescent="0.25">
      <c r="A28" s="150"/>
    </row>
    <row r="29" spans="1:9" x14ac:dyDescent="0.25">
      <c r="A29" s="150"/>
    </row>
    <row r="30" spans="1:9" x14ac:dyDescent="0.25">
      <c r="A30" s="150"/>
    </row>
  </sheetData>
  <sheetProtection algorithmName="SHA-512" hashValue="13yYhsG537aLz6J9oYPMCPbZrGGW52vknXNyjRq5uaVS9giw0YR7HCGf8gLsFgDNrc2zIrHi8nB8rNed/l+Weg==" saltValue="5P3IKL2Rl9OyzM2jbBivSg==" spinCount="100000" sheet="1" objects="1" scenarios="1"/>
  <mergeCells count="3">
    <mergeCell ref="K5:O5"/>
    <mergeCell ref="K6:O6"/>
    <mergeCell ref="A19:I19"/>
  </mergeCells>
  <phoneticPr fontId="11" type="noConversion"/>
  <pageMargins left="0.5" right="0.5" top="0.3" bottom="0.35" header="0.5" footer="0.15"/>
  <pageSetup orientation="portrait" r:id="rId1"/>
  <headerFooter>
    <oddFooter>&amp;L&amp;"Arial Narrow,Regular"&amp;9&amp;Z&amp;F&amp;R&amp;"Arial Narrow,Regular"&amp;9&amp;D</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Z81"/>
  <sheetViews>
    <sheetView showGridLines="0" zoomScale="136" zoomScaleNormal="136" workbookViewId="0">
      <selection activeCell="B43" sqref="B43"/>
    </sheetView>
  </sheetViews>
  <sheetFormatPr defaultRowHeight="13.2" x14ac:dyDescent="0.25"/>
  <cols>
    <col min="1" max="1" width="2.6640625" customWidth="1"/>
    <col min="2" max="2" width="35.6640625" customWidth="1"/>
    <col min="3" max="3" width="4.33203125" hidden="1" customWidth="1"/>
    <col min="4" max="4" width="15.6640625" customWidth="1"/>
    <col min="5" max="5" width="1.33203125" customWidth="1"/>
    <col min="6" max="6" width="4.33203125" hidden="1" customWidth="1"/>
    <col min="7" max="7" width="15.6640625" customWidth="1"/>
    <col min="8" max="8" width="4.6640625" customWidth="1"/>
    <col min="9" max="9" width="1.6640625" customWidth="1"/>
    <col min="10" max="10" width="15.5546875" bestFit="1" customWidth="1"/>
    <col min="11" max="11" width="1.6640625" customWidth="1"/>
    <col min="12" max="12" width="11.88671875" bestFit="1" customWidth="1"/>
    <col min="13" max="13" width="1.33203125" customWidth="1"/>
    <col min="14" max="14" width="15.6640625" customWidth="1"/>
    <col min="15" max="15" width="1.33203125" customWidth="1"/>
    <col min="16" max="16" width="15.6640625" customWidth="1"/>
    <col min="17" max="17" width="1.33203125" customWidth="1"/>
    <col min="18" max="18" width="11.88671875" customWidth="1"/>
    <col min="19" max="19" width="1.33203125" customWidth="1"/>
    <col min="20" max="20" width="11.88671875" customWidth="1"/>
    <col min="21" max="21" width="1.33203125" customWidth="1"/>
    <col min="22" max="22" width="11.88671875" customWidth="1"/>
    <col min="23" max="23" width="1.33203125" customWidth="1"/>
    <col min="24" max="24" width="11.88671875" bestFit="1" customWidth="1"/>
    <col min="25" max="25" width="1.33203125" customWidth="1"/>
    <col min="26" max="26" width="10.33203125" bestFit="1" customWidth="1"/>
  </cols>
  <sheetData>
    <row r="1" spans="1:26" x14ac:dyDescent="0.25">
      <c r="A1" s="1" t="str">
        <f>Info!B5</f>
        <v>APPALACHIAN STATE UNIVERSITY</v>
      </c>
    </row>
    <row r="2" spans="1:26" x14ac:dyDescent="0.25">
      <c r="A2" s="1" t="s">
        <v>88</v>
      </c>
    </row>
    <row r="3" spans="1:26" x14ac:dyDescent="0.25">
      <c r="A3" s="1" t="s">
        <v>548</v>
      </c>
    </row>
    <row r="4" spans="1:26" ht="17.399999999999999" x14ac:dyDescent="0.3">
      <c r="A4" s="1"/>
      <c r="G4" s="52"/>
    </row>
    <row r="5" spans="1:26" ht="8.1" customHeight="1" x14ac:dyDescent="0.25">
      <c r="A5" s="1"/>
    </row>
    <row r="6" spans="1:26" x14ac:dyDescent="0.25">
      <c r="A6" s="2" t="s">
        <v>89</v>
      </c>
      <c r="B6" s="85" t="s">
        <v>90</v>
      </c>
      <c r="C6" s="86"/>
      <c r="D6" s="86"/>
      <c r="E6" s="86"/>
      <c r="F6" s="86"/>
      <c r="G6" s="86"/>
      <c r="H6" s="87"/>
    </row>
    <row r="7" spans="1:26" x14ac:dyDescent="0.25">
      <c r="A7" s="2"/>
      <c r="B7" s="88" t="s">
        <v>91</v>
      </c>
      <c r="C7" s="15"/>
      <c r="D7" s="15"/>
      <c r="E7" s="15"/>
      <c r="F7" s="15"/>
      <c r="G7" s="15"/>
      <c r="H7" s="89"/>
      <c r="J7" s="201" t="s">
        <v>92</v>
      </c>
      <c r="K7" s="201"/>
    </row>
    <row r="8" spans="1:26" x14ac:dyDescent="0.25">
      <c r="B8" s="90"/>
      <c r="C8" s="15"/>
      <c r="D8" s="15"/>
      <c r="E8" s="15"/>
      <c r="F8" s="15"/>
      <c r="G8" s="15"/>
      <c r="H8" s="89"/>
      <c r="J8" s="201" t="s">
        <v>93</v>
      </c>
      <c r="K8" s="201"/>
      <c r="L8" s="264"/>
      <c r="M8" s="264"/>
      <c r="N8" s="264"/>
    </row>
    <row r="9" spans="1:26" x14ac:dyDescent="0.25">
      <c r="B9" s="91"/>
      <c r="C9" s="84"/>
      <c r="D9" s="79" t="s">
        <v>94</v>
      </c>
      <c r="E9" s="84"/>
      <c r="F9" s="84"/>
      <c r="G9" s="79" t="s">
        <v>95</v>
      </c>
      <c r="H9" s="89"/>
      <c r="J9" s="201" t="s">
        <v>96</v>
      </c>
      <c r="K9" s="201"/>
      <c r="L9" s="264"/>
      <c r="M9" s="264"/>
      <c r="N9" s="264"/>
      <c r="O9" s="264"/>
      <c r="P9" s="264"/>
      <c r="R9" s="264"/>
      <c r="S9" s="264"/>
      <c r="T9" s="264"/>
      <c r="U9" s="264"/>
      <c r="V9" s="264"/>
      <c r="X9" s="264"/>
      <c r="Y9" s="264"/>
      <c r="Z9" s="264"/>
    </row>
    <row r="10" spans="1:26" x14ac:dyDescent="0.25">
      <c r="B10" s="91"/>
      <c r="C10" s="92" t="s">
        <v>15</v>
      </c>
      <c r="D10" s="93" t="s">
        <v>97</v>
      </c>
      <c r="E10" s="79"/>
      <c r="F10" s="93" t="s">
        <v>15</v>
      </c>
      <c r="G10" s="93" t="s">
        <v>97</v>
      </c>
      <c r="H10" s="89"/>
      <c r="J10" s="11" t="s">
        <v>98</v>
      </c>
      <c r="K10" s="201"/>
      <c r="L10" s="200"/>
      <c r="N10" s="200"/>
      <c r="P10" s="200"/>
      <c r="R10" s="200"/>
      <c r="T10" s="200"/>
      <c r="V10" s="200"/>
      <c r="X10" s="200"/>
      <c r="Z10" s="200"/>
    </row>
    <row r="11" spans="1:26" x14ac:dyDescent="0.25">
      <c r="B11" s="88" t="s">
        <v>99</v>
      </c>
      <c r="C11" s="94"/>
      <c r="D11" s="75"/>
      <c r="E11" s="15"/>
      <c r="F11" s="94"/>
      <c r="G11" s="95"/>
      <c r="H11" s="89"/>
      <c r="J11" s="12"/>
      <c r="K11" s="12"/>
    </row>
    <row r="12" spans="1:26" x14ac:dyDescent="0.25">
      <c r="B12" s="88" t="s">
        <v>100</v>
      </c>
      <c r="C12" s="94">
        <v>1</v>
      </c>
      <c r="D12" s="75">
        <f>Detail!E13+SUMIF(Detail!$D$25:$D$61,$C12,Detail!E$25:E$61)-SUMIF(Detail!$D$25:$D$61,$C12,Detail!F$25:F$61)</f>
        <v>10769779</v>
      </c>
      <c r="E12" s="15"/>
      <c r="F12" s="94">
        <v>6</v>
      </c>
      <c r="G12" s="95">
        <f>Detail!F16+SUMIF(Detail!$D$25:$D$61,$F12,Detail!F$25:F$61)-SUMIF(Detail!$D$25:$D$61,$F12,Detail!E$25:E$61)</f>
        <v>353282</v>
      </c>
      <c r="H12" s="89"/>
      <c r="J12" s="12">
        <f>D12-G12</f>
        <v>10416497</v>
      </c>
      <c r="K12" s="12"/>
      <c r="L12" s="75"/>
      <c r="N12" s="75"/>
      <c r="P12" s="75"/>
      <c r="R12" s="75"/>
      <c r="T12" s="75"/>
      <c r="V12" s="75"/>
      <c r="X12" s="12"/>
      <c r="Z12" s="12"/>
    </row>
    <row r="13" spans="1:26" x14ac:dyDescent="0.25">
      <c r="B13" s="91"/>
      <c r="C13" s="94"/>
      <c r="D13" s="96"/>
      <c r="E13" s="15"/>
      <c r="F13" s="94"/>
      <c r="G13" s="97"/>
      <c r="H13" s="89"/>
      <c r="Z13" s="12"/>
    </row>
    <row r="14" spans="1:26" x14ac:dyDescent="0.25">
      <c r="B14" s="88" t="s">
        <v>24</v>
      </c>
      <c r="C14" s="94">
        <v>2</v>
      </c>
      <c r="D14" s="47">
        <f>Detail!E11+SUMIF(Detail!$D$25:$D$61,$C14,Detail!E$25:E$61)-SUMIF(Detail!$D$25:$D$61,$C14,Detail!F$25:F$61)</f>
        <v>0</v>
      </c>
      <c r="E14" s="15"/>
      <c r="F14" s="94">
        <v>7</v>
      </c>
      <c r="G14" s="47">
        <f>Detail!F18+SUMIF(Detail!$D$25:$D$61,$F14,Detail!F$25:F$61)-SUMIF(Detail!$D$25:$D$61,$F14,Detail!E$25:E$61)</f>
        <v>0</v>
      </c>
      <c r="H14" s="89"/>
      <c r="J14" s="47">
        <f>D14-G14</f>
        <v>0</v>
      </c>
      <c r="K14" s="47"/>
      <c r="L14" s="47"/>
      <c r="N14" s="47"/>
      <c r="P14" s="47"/>
      <c r="R14" s="47"/>
      <c r="T14" s="47"/>
      <c r="V14" s="47"/>
      <c r="X14" s="13"/>
      <c r="Z14" s="13"/>
    </row>
    <row r="15" spans="1:26" x14ac:dyDescent="0.25">
      <c r="B15" s="91"/>
      <c r="C15" s="94"/>
      <c r="D15" s="96"/>
      <c r="E15" s="15"/>
      <c r="F15" s="94"/>
      <c r="G15" s="97"/>
      <c r="H15" s="89"/>
      <c r="X15" s="13"/>
      <c r="Z15" s="12"/>
    </row>
    <row r="16" spans="1:26" ht="12.75" customHeight="1" x14ac:dyDescent="0.25">
      <c r="B16" s="178" t="s">
        <v>101</v>
      </c>
      <c r="C16" s="94"/>
      <c r="D16" s="47"/>
      <c r="E16" s="15"/>
      <c r="F16" s="94"/>
      <c r="G16" s="47"/>
      <c r="H16" s="89"/>
      <c r="J16" s="13"/>
      <c r="K16" s="13"/>
      <c r="N16" s="274"/>
      <c r="O16" s="274"/>
      <c r="P16" s="274"/>
      <c r="X16" s="13"/>
      <c r="Z16" s="12"/>
    </row>
    <row r="17" spans="2:26" x14ac:dyDescent="0.25">
      <c r="B17" s="178" t="s">
        <v>102</v>
      </c>
      <c r="C17" s="94"/>
      <c r="D17" s="96"/>
      <c r="E17" s="15"/>
      <c r="F17" s="94"/>
      <c r="G17" s="97"/>
      <c r="H17" s="89"/>
      <c r="N17" s="201"/>
      <c r="O17" s="2"/>
      <c r="P17" s="201"/>
      <c r="X17" s="13"/>
      <c r="Z17" s="12"/>
    </row>
    <row r="18" spans="2:26" x14ac:dyDescent="0.25">
      <c r="B18" s="178" t="s">
        <v>103</v>
      </c>
      <c r="C18" s="94">
        <v>3</v>
      </c>
      <c r="D18" s="47">
        <f>Detail!E12+SUMIF(Detail!$D$25:$D$61,$C18,Detail!E$25:E$61)-SUMIF(Detail!$D$25:$D$61,$C18,Detail!F$25:F$61)</f>
        <v>19706363</v>
      </c>
      <c r="E18" s="15"/>
      <c r="F18" s="94">
        <v>8</v>
      </c>
      <c r="G18" s="47">
        <f>Detail!F17+SUMIF(Detail!$D$25:$D$61,$F18,Detail!F$25:F$61)-SUMIF(Detail!$D$25:$D$61,$F18,Detail!E$25:E$61)</f>
        <v>0</v>
      </c>
      <c r="H18" s="89"/>
      <c r="J18" s="47">
        <f>D18-G18</f>
        <v>19706363</v>
      </c>
      <c r="K18" s="47"/>
      <c r="L18" s="47"/>
      <c r="N18" s="47"/>
      <c r="P18" s="47"/>
      <c r="R18" s="47"/>
      <c r="T18" s="47"/>
      <c r="V18" s="47"/>
      <c r="X18" s="13"/>
      <c r="Z18" s="13"/>
    </row>
    <row r="19" spans="2:26" x14ac:dyDescent="0.25">
      <c r="B19" s="91"/>
      <c r="C19" s="94"/>
      <c r="D19" s="96"/>
      <c r="E19" s="15"/>
      <c r="F19" s="94"/>
      <c r="G19" s="97"/>
      <c r="H19" s="89"/>
      <c r="X19" s="13"/>
      <c r="Z19" s="12"/>
    </row>
    <row r="20" spans="2:26" x14ac:dyDescent="0.25">
      <c r="B20" s="88" t="s">
        <v>104</v>
      </c>
      <c r="C20" s="94"/>
      <c r="D20" s="47"/>
      <c r="E20" s="15"/>
      <c r="F20" s="94"/>
      <c r="G20" s="47"/>
      <c r="H20" s="89"/>
      <c r="J20" s="13"/>
      <c r="K20" s="13"/>
      <c r="X20" s="13"/>
      <c r="Z20" s="12"/>
    </row>
    <row r="21" spans="2:26" x14ac:dyDescent="0.25">
      <c r="B21" s="88" t="s">
        <v>105</v>
      </c>
      <c r="C21" s="94"/>
      <c r="D21" s="96"/>
      <c r="E21" s="15"/>
      <c r="F21" s="94"/>
      <c r="G21" s="97"/>
      <c r="H21" s="89"/>
      <c r="X21" s="13"/>
      <c r="Z21" s="12"/>
    </row>
    <row r="22" spans="2:26" x14ac:dyDescent="0.25">
      <c r="B22" s="88" t="s">
        <v>106</v>
      </c>
      <c r="C22" s="94">
        <v>4</v>
      </c>
      <c r="D22" s="47">
        <f>Detail!E10+SUMIF(Detail!$D$25:$D$61,$C22,Detail!E$25:E$61)-SUMIF(Detail!$D$25:$D$61,$C22,Detail!F$25:F$61)</f>
        <v>7079841</v>
      </c>
      <c r="E22" s="15"/>
      <c r="F22" s="94">
        <v>9</v>
      </c>
      <c r="G22" s="47">
        <f>Detail!F19+SUMIF(Detail!$D$25:$D$61,$F22,Detail!F$25:F$61)-SUMIF(Detail!$D$25:$D$61,$F22,Detail!E$25:E$61)</f>
        <v>188964</v>
      </c>
      <c r="H22" s="89"/>
      <c r="J22" s="77">
        <f>D22-G22</f>
        <v>6890877</v>
      </c>
      <c r="K22" s="47"/>
      <c r="L22" s="47"/>
      <c r="N22" s="47"/>
      <c r="P22" s="47"/>
      <c r="R22" s="47"/>
      <c r="T22" s="47"/>
      <c r="V22" s="47"/>
      <c r="X22" s="13"/>
      <c r="Z22" s="13"/>
    </row>
    <row r="23" spans="2:26" ht="13.8" thickBot="1" x14ac:dyDescent="0.3">
      <c r="B23" s="88"/>
      <c r="C23" s="94"/>
      <c r="D23" s="96"/>
      <c r="E23" s="15"/>
      <c r="F23" s="94"/>
      <c r="G23" s="97"/>
      <c r="H23" s="89"/>
      <c r="J23" s="83">
        <f>J12+J14+J18+J22</f>
        <v>37013737</v>
      </c>
      <c r="K23" s="12"/>
      <c r="X23" s="12"/>
      <c r="Z23" s="12"/>
    </row>
    <row r="24" spans="2:26" ht="13.8" thickTop="1" x14ac:dyDescent="0.25">
      <c r="B24" s="88" t="s">
        <v>107</v>
      </c>
      <c r="C24" s="94"/>
      <c r="D24" s="47"/>
      <c r="E24" s="15"/>
      <c r="F24" s="94"/>
      <c r="G24" s="47"/>
      <c r="H24" s="89"/>
      <c r="J24" s="13"/>
      <c r="K24" s="13"/>
      <c r="X24" s="13"/>
    </row>
    <row r="25" spans="2:26" ht="13.8" x14ac:dyDescent="0.3">
      <c r="B25" s="88" t="s">
        <v>108</v>
      </c>
      <c r="C25" s="94">
        <v>5</v>
      </c>
      <c r="D25" s="47">
        <f>SUMIF(Detail!$D$25:$D$61,$C25,Detail!E$25:E$61)</f>
        <v>0</v>
      </c>
      <c r="E25" s="15"/>
      <c r="F25" s="94"/>
      <c r="G25" s="47">
        <v>0</v>
      </c>
      <c r="H25" s="89"/>
      <c r="J25" s="47"/>
      <c r="K25" s="47"/>
      <c r="L25" s="123"/>
      <c r="N25" s="123"/>
      <c r="P25" s="47"/>
      <c r="R25" s="47"/>
      <c r="T25" s="47"/>
      <c r="V25" s="47"/>
      <c r="X25" s="13"/>
    </row>
    <row r="26" spans="2:26" ht="14.4" customHeight="1" thickBot="1" x14ac:dyDescent="0.3">
      <c r="B26" s="98" t="s">
        <v>109</v>
      </c>
      <c r="C26" s="15"/>
      <c r="D26" s="99">
        <f>SUM(D12:D25)</f>
        <v>37555983</v>
      </c>
      <c r="E26" s="15"/>
      <c r="F26" s="15"/>
      <c r="G26" s="99">
        <f>SUM(G12:G25)</f>
        <v>542246</v>
      </c>
      <c r="H26" s="89"/>
      <c r="J26" s="201"/>
      <c r="K26" s="201"/>
      <c r="L26" s="49"/>
      <c r="N26" s="49"/>
      <c r="P26" s="49"/>
      <c r="R26" s="49"/>
      <c r="T26" s="49"/>
      <c r="V26" s="49"/>
    </row>
    <row r="27" spans="2:26" ht="14.4" customHeight="1" thickTop="1" x14ac:dyDescent="0.25">
      <c r="B27" s="98"/>
      <c r="C27" s="15"/>
      <c r="D27" s="49"/>
      <c r="E27" s="15"/>
      <c r="F27" s="15"/>
      <c r="G27" s="49"/>
      <c r="H27" s="89"/>
      <c r="J27" s="49"/>
      <c r="K27" s="49"/>
    </row>
    <row r="28" spans="2:26" ht="63.9" customHeight="1" x14ac:dyDescent="0.25">
      <c r="B28" s="266" t="s">
        <v>110</v>
      </c>
      <c r="C28" s="267"/>
      <c r="D28" s="267"/>
      <c r="E28" s="267"/>
      <c r="F28" s="267"/>
      <c r="G28" s="267"/>
      <c r="H28" s="268"/>
      <c r="J28" s="49"/>
      <c r="K28" s="49"/>
      <c r="L28" s="265"/>
      <c r="M28" s="265"/>
      <c r="N28" s="265"/>
      <c r="O28" s="265"/>
      <c r="P28" s="265"/>
      <c r="Q28" s="265"/>
    </row>
    <row r="29" spans="2:26" x14ac:dyDescent="0.25">
      <c r="B29" s="98"/>
      <c r="C29" s="15"/>
      <c r="D29" s="49"/>
      <c r="E29" s="15"/>
      <c r="F29" s="15"/>
      <c r="G29" s="49"/>
      <c r="H29" s="89"/>
    </row>
    <row r="30" spans="2:26" x14ac:dyDescent="0.25">
      <c r="B30" s="100" t="s">
        <v>111</v>
      </c>
      <c r="C30" s="15"/>
      <c r="D30" s="49"/>
      <c r="E30" s="15"/>
      <c r="F30" s="15"/>
      <c r="G30" s="49"/>
      <c r="H30" s="89"/>
    </row>
    <row r="31" spans="2:26" ht="12.75" customHeight="1" x14ac:dyDescent="0.25">
      <c r="B31" s="101"/>
      <c r="C31" s="102"/>
      <c r="D31" s="102"/>
      <c r="E31" s="102"/>
      <c r="F31" s="102"/>
      <c r="G31" s="102"/>
      <c r="H31" s="103"/>
    </row>
    <row r="32" spans="2:26" ht="15.75" customHeight="1" x14ac:dyDescent="0.25">
      <c r="B32" s="2"/>
    </row>
    <row r="33" spans="1:16" x14ac:dyDescent="0.25">
      <c r="A33" s="2" t="s">
        <v>112</v>
      </c>
      <c r="B33" s="85" t="s">
        <v>113</v>
      </c>
      <c r="C33" s="86"/>
      <c r="D33" s="86"/>
      <c r="E33" s="86"/>
      <c r="F33" s="86"/>
      <c r="G33" s="86"/>
      <c r="H33" s="87"/>
    </row>
    <row r="34" spans="1:16" x14ac:dyDescent="0.25">
      <c r="A34" s="2"/>
      <c r="B34" s="88" t="s">
        <v>114</v>
      </c>
      <c r="C34" s="15"/>
      <c r="D34" s="15"/>
      <c r="E34" s="15"/>
      <c r="F34" s="15"/>
      <c r="G34" s="15"/>
      <c r="H34" s="89"/>
    </row>
    <row r="35" spans="1:16" x14ac:dyDescent="0.25">
      <c r="A35" s="2"/>
      <c r="B35" s="88" t="s">
        <v>115</v>
      </c>
      <c r="C35" s="15"/>
      <c r="D35" s="15"/>
      <c r="E35" s="15"/>
      <c r="F35" s="15"/>
      <c r="G35" s="15"/>
      <c r="H35" s="89"/>
    </row>
    <row r="36" spans="1:16" x14ac:dyDescent="0.25">
      <c r="B36" s="104"/>
      <c r="C36" s="15"/>
      <c r="D36" s="15"/>
      <c r="E36" s="15"/>
      <c r="F36" s="15"/>
      <c r="G36" s="15"/>
      <c r="H36" s="89"/>
      <c r="L36" s="200"/>
      <c r="N36" s="200"/>
      <c r="P36" s="200"/>
    </row>
    <row r="37" spans="1:16" x14ac:dyDescent="0.25">
      <c r="B37" s="88" t="s">
        <v>116</v>
      </c>
      <c r="C37" s="15"/>
      <c r="D37" s="79"/>
      <c r="E37" s="15"/>
      <c r="F37" s="15"/>
      <c r="G37" s="15"/>
      <c r="H37" s="89"/>
    </row>
    <row r="38" spans="1:16" ht="13.8" x14ac:dyDescent="0.3">
      <c r="B38" s="98">
        <v>2026</v>
      </c>
      <c r="C38" s="15"/>
      <c r="D38" s="75">
        <f>VLOOKUP(Info!B9,Data!B:X,16,FALSE)</f>
        <v>12369174.855213266</v>
      </c>
      <c r="E38" s="15"/>
      <c r="F38" s="61"/>
      <c r="G38" s="15"/>
      <c r="H38" s="89"/>
      <c r="L38" s="75"/>
      <c r="N38" s="75"/>
      <c r="P38" s="12"/>
    </row>
    <row r="39" spans="1:16" ht="13.8" x14ac:dyDescent="0.3">
      <c r="B39" s="98">
        <v>2027</v>
      </c>
      <c r="C39" s="15"/>
      <c r="D39" s="105">
        <f>VLOOKUP(Info!B9,Data!B:X,17,FALSE)</f>
        <v>27263631.942488544</v>
      </c>
      <c r="E39" s="15"/>
      <c r="F39" s="61"/>
      <c r="G39" s="15"/>
      <c r="H39" s="89"/>
      <c r="L39" s="105"/>
      <c r="N39" s="105"/>
      <c r="P39" s="105"/>
    </row>
    <row r="40" spans="1:16" ht="13.8" x14ac:dyDescent="0.3">
      <c r="B40" s="98">
        <v>2028</v>
      </c>
      <c r="C40" s="15"/>
      <c r="D40" s="105">
        <f>VLOOKUP(Info!B9,Data!B:X,18,FALSE)</f>
        <v>-509645.63879999996</v>
      </c>
      <c r="E40" s="15"/>
      <c r="F40" s="61"/>
      <c r="G40" s="15"/>
      <c r="H40" s="89"/>
      <c r="L40" s="105"/>
      <c r="N40" s="105"/>
      <c r="P40" s="105"/>
    </row>
    <row r="41" spans="1:16" ht="13.8" x14ac:dyDescent="0.3">
      <c r="B41" s="98">
        <v>2029</v>
      </c>
      <c r="C41" s="15"/>
      <c r="D41" s="105">
        <f>VLOOKUP(Info!B9,Data!B:X,19,FALSE)+VLOOKUP(Info!B9,Data!B:W,22,FALSE)</f>
        <v>-2109424.4765999997</v>
      </c>
      <c r="E41" s="15"/>
      <c r="F41" s="61"/>
      <c r="G41" s="84"/>
      <c r="H41" s="89"/>
      <c r="J41" s="122" t="s">
        <v>27</v>
      </c>
      <c r="K41" s="2"/>
      <c r="L41" s="105"/>
      <c r="N41" s="105"/>
      <c r="P41" s="105"/>
    </row>
    <row r="42" spans="1:16" ht="13.8" x14ac:dyDescent="0.3">
      <c r="B42" s="98">
        <v>2030</v>
      </c>
      <c r="C42" s="15"/>
      <c r="D42" s="106">
        <f>VLOOKUP(Info!B9,Data!B:W,20,FALSE)</f>
        <v>0</v>
      </c>
      <c r="E42" s="15"/>
      <c r="F42" s="61"/>
      <c r="G42" s="15"/>
      <c r="H42" s="89"/>
      <c r="L42" s="105"/>
      <c r="N42" s="105"/>
      <c r="P42" s="105"/>
    </row>
    <row r="43" spans="1:16" ht="14.4" customHeight="1" thickBot="1" x14ac:dyDescent="0.35">
      <c r="B43" s="107" t="s">
        <v>109</v>
      </c>
      <c r="C43" s="15"/>
      <c r="D43" s="108">
        <f>SUM(D38:D42)</f>
        <v>37013736.682301804</v>
      </c>
      <c r="E43" s="15"/>
      <c r="F43" s="61"/>
      <c r="G43" s="15"/>
      <c r="H43" s="89"/>
      <c r="L43" s="12"/>
      <c r="N43" s="12"/>
      <c r="P43" s="12"/>
    </row>
    <row r="44" spans="1:16" ht="8.1" customHeight="1" thickTop="1" x14ac:dyDescent="0.25">
      <c r="B44" s="91"/>
      <c r="C44" s="15"/>
      <c r="D44" s="15"/>
      <c r="E44" s="15"/>
      <c r="F44" s="15"/>
      <c r="G44" s="15"/>
      <c r="H44" s="89"/>
    </row>
    <row r="45" spans="1:16" x14ac:dyDescent="0.25">
      <c r="B45" s="88" t="s">
        <v>117</v>
      </c>
      <c r="C45" s="15"/>
      <c r="D45" s="15"/>
      <c r="E45" s="15"/>
      <c r="F45" s="15"/>
      <c r="G45" s="15"/>
      <c r="H45" s="89"/>
    </row>
    <row r="46" spans="1:16" x14ac:dyDescent="0.25">
      <c r="B46" s="88" t="s">
        <v>118</v>
      </c>
      <c r="C46" s="15"/>
      <c r="D46" s="15"/>
      <c r="E46" s="15"/>
      <c r="F46" s="15"/>
      <c r="G46" s="15"/>
      <c r="H46" s="89"/>
    </row>
    <row r="47" spans="1:16" x14ac:dyDescent="0.25">
      <c r="B47" s="88"/>
      <c r="C47" s="15"/>
      <c r="D47" s="15"/>
      <c r="E47" s="15"/>
      <c r="F47" s="15"/>
      <c r="G47" s="15"/>
      <c r="H47" s="89"/>
    </row>
    <row r="48" spans="1:16" x14ac:dyDescent="0.25">
      <c r="B48" s="109" t="s">
        <v>119</v>
      </c>
      <c r="C48" s="15"/>
      <c r="D48" s="15"/>
      <c r="E48" s="15"/>
      <c r="F48" s="15"/>
      <c r="G48" s="15"/>
      <c r="H48" s="89"/>
    </row>
    <row r="49" spans="1:16" ht="12.75" customHeight="1" x14ac:dyDescent="0.25">
      <c r="B49" s="110"/>
      <c r="C49" s="102"/>
      <c r="D49" s="102"/>
      <c r="E49" s="102"/>
      <c r="F49" s="102"/>
      <c r="G49" s="102"/>
      <c r="H49" s="103"/>
    </row>
    <row r="50" spans="1:16" ht="15.75" customHeight="1" x14ac:dyDescent="0.25"/>
    <row r="51" spans="1:16" x14ac:dyDescent="0.25">
      <c r="A51" s="2" t="s">
        <v>120</v>
      </c>
      <c r="B51" s="85" t="s">
        <v>121</v>
      </c>
      <c r="C51" s="86"/>
      <c r="D51" s="86"/>
      <c r="E51" s="86"/>
      <c r="F51" s="86"/>
      <c r="G51" s="86"/>
      <c r="H51" s="87"/>
    </row>
    <row r="52" spans="1:16" x14ac:dyDescent="0.25">
      <c r="A52" s="2"/>
      <c r="B52" s="88" t="s">
        <v>122</v>
      </c>
      <c r="C52" s="15"/>
      <c r="D52" s="15"/>
      <c r="E52" s="15"/>
      <c r="F52" s="15"/>
      <c r="G52" s="15"/>
      <c r="H52" s="89"/>
    </row>
    <row r="53" spans="1:16" x14ac:dyDescent="0.25">
      <c r="A53" s="2"/>
      <c r="B53" s="111" t="s">
        <v>559</v>
      </c>
      <c r="C53" s="15"/>
      <c r="D53" s="15"/>
      <c r="E53" s="15"/>
      <c r="F53" s="15"/>
      <c r="G53" s="15"/>
      <c r="H53" s="89"/>
    </row>
    <row r="54" spans="1:16" x14ac:dyDescent="0.25">
      <c r="B54" s="91"/>
      <c r="C54" s="15"/>
      <c r="D54" s="15"/>
      <c r="E54" s="15"/>
      <c r="F54" s="15"/>
      <c r="G54" s="15"/>
      <c r="H54" s="89"/>
      <c r="L54" s="200"/>
      <c r="N54" s="200"/>
      <c r="P54" s="200"/>
    </row>
    <row r="55" spans="1:16" ht="14.4" thickBot="1" x14ac:dyDescent="0.35">
      <c r="B55" s="88" t="s">
        <v>123</v>
      </c>
      <c r="C55" s="15"/>
      <c r="D55" s="112">
        <f>D25</f>
        <v>0</v>
      </c>
      <c r="E55" s="15"/>
      <c r="F55" s="61"/>
      <c r="G55" s="84"/>
      <c r="H55" s="89"/>
      <c r="J55" s="122" t="s">
        <v>124</v>
      </c>
      <c r="K55" s="2"/>
      <c r="L55" s="13"/>
      <c r="N55" s="13"/>
      <c r="P55" s="12"/>
    </row>
    <row r="56" spans="1:16" ht="13.8" thickTop="1" x14ac:dyDescent="0.25">
      <c r="B56" s="88"/>
      <c r="C56" s="15"/>
      <c r="D56" s="75"/>
      <c r="E56" s="15"/>
      <c r="F56" s="15"/>
      <c r="G56" s="15"/>
      <c r="H56" s="89"/>
    </row>
    <row r="57" spans="1:16" x14ac:dyDescent="0.25">
      <c r="B57" s="109" t="s">
        <v>125</v>
      </c>
      <c r="C57" s="15"/>
      <c r="D57" s="75"/>
      <c r="E57" s="15"/>
      <c r="F57" s="15"/>
      <c r="G57" s="15"/>
      <c r="H57" s="89"/>
    </row>
    <row r="58" spans="1:16" ht="12.75" customHeight="1" x14ac:dyDescent="0.25">
      <c r="B58" s="101"/>
      <c r="C58" s="102"/>
      <c r="D58" s="102"/>
      <c r="E58" s="102"/>
      <c r="F58" s="102"/>
      <c r="G58" s="102"/>
      <c r="H58" s="103"/>
    </row>
    <row r="59" spans="1:16" ht="15.75" customHeight="1" x14ac:dyDescent="0.25"/>
    <row r="60" spans="1:16" x14ac:dyDescent="0.25">
      <c r="A60" s="2" t="s">
        <v>126</v>
      </c>
      <c r="B60" s="113" t="s">
        <v>127</v>
      </c>
      <c r="C60" s="86"/>
      <c r="D60" s="86"/>
      <c r="E60" s="86"/>
      <c r="F60" s="86"/>
      <c r="G60" s="86"/>
      <c r="H60" s="87"/>
    </row>
    <row r="61" spans="1:16" x14ac:dyDescent="0.25">
      <c r="B61" s="91"/>
      <c r="C61" s="15"/>
      <c r="D61" s="15"/>
      <c r="E61" s="15"/>
      <c r="F61" s="15"/>
      <c r="G61" s="15"/>
      <c r="H61" s="89"/>
    </row>
    <row r="62" spans="1:16" x14ac:dyDescent="0.25">
      <c r="B62" s="114"/>
      <c r="C62" s="94"/>
      <c r="D62" s="115" t="s">
        <v>128</v>
      </c>
      <c r="E62" s="94"/>
      <c r="F62" s="94"/>
      <c r="G62" s="94"/>
      <c r="H62" s="89"/>
      <c r="I62" s="200"/>
      <c r="J62" s="200"/>
      <c r="K62" s="200"/>
      <c r="L62" s="274"/>
      <c r="M62" s="274"/>
      <c r="N62" s="274"/>
      <c r="O62" s="274"/>
      <c r="P62" s="274"/>
    </row>
    <row r="63" spans="1:16" x14ac:dyDescent="0.25">
      <c r="B63" s="114"/>
      <c r="C63" s="94"/>
      <c r="D63" s="116" t="s">
        <v>129</v>
      </c>
      <c r="E63" s="94"/>
      <c r="F63" s="94"/>
      <c r="G63" s="94"/>
      <c r="H63" s="89"/>
      <c r="I63" s="200"/>
      <c r="J63" s="200"/>
      <c r="K63" s="200"/>
      <c r="L63" s="200"/>
      <c r="N63" s="200"/>
      <c r="P63" s="201"/>
    </row>
    <row r="64" spans="1:16" x14ac:dyDescent="0.25">
      <c r="B64" s="88" t="s">
        <v>560</v>
      </c>
      <c r="C64" s="15"/>
      <c r="D64" s="117">
        <f>Detail!F15</f>
        <v>123042569</v>
      </c>
      <c r="E64" s="15"/>
      <c r="F64" s="15"/>
      <c r="G64" s="54"/>
      <c r="H64" s="89"/>
      <c r="L64" s="117"/>
      <c r="N64" s="117"/>
      <c r="P64" s="12"/>
    </row>
    <row r="65" spans="2:18" hidden="1" x14ac:dyDescent="0.25">
      <c r="B65" s="91" t="s">
        <v>130</v>
      </c>
      <c r="C65" s="15"/>
      <c r="D65" s="105">
        <v>0</v>
      </c>
      <c r="E65" s="15"/>
      <c r="F65" s="15"/>
      <c r="G65" s="54"/>
      <c r="H65" s="89"/>
      <c r="L65" s="105"/>
      <c r="N65" s="105"/>
      <c r="P65" s="105"/>
    </row>
    <row r="66" spans="2:18" x14ac:dyDescent="0.25">
      <c r="B66" s="178" t="s">
        <v>131</v>
      </c>
      <c r="C66" s="15"/>
      <c r="D66" s="105">
        <f>Detail!F43</f>
        <v>0</v>
      </c>
      <c r="E66" s="15"/>
      <c r="F66" s="15"/>
      <c r="G66" s="54"/>
      <c r="H66" s="89"/>
      <c r="L66" s="105"/>
      <c r="N66" s="105"/>
      <c r="P66" s="105"/>
    </row>
    <row r="67" spans="2:18" x14ac:dyDescent="0.25">
      <c r="B67" s="178" t="s">
        <v>132</v>
      </c>
      <c r="C67" s="15"/>
      <c r="D67" s="105">
        <f>-Detail!E33</f>
        <v>-3534208</v>
      </c>
      <c r="E67" s="15"/>
      <c r="F67" s="15"/>
      <c r="G67" s="54"/>
      <c r="H67" s="89"/>
      <c r="L67" s="105"/>
      <c r="N67" s="105"/>
      <c r="P67" s="105"/>
    </row>
    <row r="68" spans="2:18" ht="14.4" customHeight="1" thickBot="1" x14ac:dyDescent="0.3">
      <c r="B68" s="88" t="s">
        <v>561</v>
      </c>
      <c r="C68" s="15"/>
      <c r="D68" s="108">
        <f>SUM(D64:D67)</f>
        <v>119508361</v>
      </c>
      <c r="E68" s="15"/>
      <c r="F68" s="15"/>
      <c r="G68" s="54"/>
      <c r="H68" s="89"/>
      <c r="L68" s="117"/>
      <c r="N68" s="117"/>
      <c r="P68" s="117"/>
      <c r="R68" s="121"/>
    </row>
    <row r="69" spans="2:18" ht="13.8" thickTop="1" x14ac:dyDescent="0.25">
      <c r="B69" s="91"/>
      <c r="C69" s="15"/>
      <c r="D69" s="117"/>
      <c r="E69" s="15"/>
      <c r="F69" s="15"/>
      <c r="G69" s="15"/>
      <c r="H69" s="89"/>
      <c r="R69" s="121"/>
    </row>
    <row r="70" spans="2:18" x14ac:dyDescent="0.25">
      <c r="B70" s="88" t="s">
        <v>133</v>
      </c>
      <c r="C70" s="15"/>
      <c r="D70" s="118">
        <v>0</v>
      </c>
      <c r="E70" s="15"/>
      <c r="F70" s="15"/>
      <c r="G70" s="15"/>
      <c r="H70" s="89"/>
      <c r="L70" s="117"/>
      <c r="N70" s="117"/>
      <c r="P70" s="117"/>
    </row>
    <row r="71" spans="2:18" x14ac:dyDescent="0.25">
      <c r="B71" s="91"/>
      <c r="C71" s="15"/>
      <c r="D71" s="15"/>
      <c r="E71" s="15"/>
      <c r="F71" s="15"/>
      <c r="G71" s="15"/>
      <c r="H71" s="89"/>
    </row>
    <row r="72" spans="2:18" ht="81.900000000000006" customHeight="1" x14ac:dyDescent="0.25">
      <c r="B72" s="272" t="s">
        <v>134</v>
      </c>
      <c r="C72" s="255"/>
      <c r="D72" s="255"/>
      <c r="E72" s="255"/>
      <c r="F72" s="255"/>
      <c r="G72" s="255"/>
      <c r="H72" s="273"/>
      <c r="L72" s="275"/>
      <c r="M72" s="275"/>
      <c r="N72" s="275"/>
      <c r="O72" s="275"/>
      <c r="P72" s="275"/>
    </row>
    <row r="73" spans="2:18" ht="92.1" customHeight="1" x14ac:dyDescent="0.25">
      <c r="B73" s="269" t="s">
        <v>135</v>
      </c>
      <c r="C73" s="270"/>
      <c r="D73" s="270"/>
      <c r="E73" s="270"/>
      <c r="F73" s="270"/>
      <c r="G73" s="270"/>
      <c r="H73" s="271"/>
      <c r="L73" s="276"/>
      <c r="M73" s="276"/>
      <c r="N73" s="276"/>
      <c r="O73" s="276"/>
      <c r="P73" s="276"/>
    </row>
    <row r="74" spans="2:18" ht="12.75" customHeight="1" x14ac:dyDescent="0.25">
      <c r="B74" s="101"/>
      <c r="C74" s="102"/>
      <c r="D74" s="102"/>
      <c r="E74" s="102"/>
      <c r="F74" s="102"/>
      <c r="G74" s="102"/>
      <c r="H74" s="103"/>
    </row>
    <row r="81" spans="7:7" x14ac:dyDescent="0.25">
      <c r="G81" s="12"/>
    </row>
  </sheetData>
  <sheetProtection algorithmName="SHA-512" hashValue="SvAocMx/PlHBwZaeDQJ7+GnsqdSzegwi4pmGEKigtRYtq6AivSw4ik5ZrbdGYy4uQuz8Kl9FJd507+IIpmumjw==" saltValue="Rr0G0crjiyAzMELCF4Sq2Q==" spinCount="100000" sheet="1" objects="1" scenarios="1"/>
  <mergeCells count="12">
    <mergeCell ref="X9:Z9"/>
    <mergeCell ref="B73:H73"/>
    <mergeCell ref="B72:H72"/>
    <mergeCell ref="L62:P62"/>
    <mergeCell ref="L72:P72"/>
    <mergeCell ref="L73:P73"/>
    <mergeCell ref="N16:P16"/>
    <mergeCell ref="L8:N8"/>
    <mergeCell ref="L9:P9"/>
    <mergeCell ref="R9:V9"/>
    <mergeCell ref="L28:Q28"/>
    <mergeCell ref="B28:H28"/>
  </mergeCells>
  <pageMargins left="0.45" right="0.45" top="0.5" bottom="0.5" header="0.3" footer="0.3"/>
  <pageSetup orientation="portrait" r:id="rId1"/>
  <rowBreaks count="1" manualBreakCount="1">
    <brk id="50" max="9"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U92"/>
  <sheetViews>
    <sheetView zoomScale="121" zoomScaleNormal="121" workbookViewId="0">
      <pane xSplit="2" ySplit="3" topLeftCell="R73" activePane="bottomRight" state="frozen"/>
      <selection pane="topRight" activeCell="C1" sqref="C1"/>
      <selection pane="bottomLeft" activeCell="A4" sqref="A4"/>
      <selection pane="bottomRight" activeCell="C4" sqref="C4"/>
    </sheetView>
  </sheetViews>
  <sheetFormatPr defaultRowHeight="13.2" x14ac:dyDescent="0.25"/>
  <cols>
    <col min="1" max="1" width="49.6640625" bestFit="1" customWidth="1"/>
    <col min="2" max="2" width="11.6640625" bestFit="1" customWidth="1"/>
    <col min="3" max="3" width="15.6640625" customWidth="1"/>
    <col min="4" max="4" width="10.33203125" customWidth="1"/>
    <col min="5" max="5" width="13.44140625" customWidth="1"/>
    <col min="6" max="7" width="11.6640625" customWidth="1"/>
    <col min="8" max="8" width="13.33203125" customWidth="1"/>
    <col min="9" max="9" width="20.6640625" customWidth="1"/>
    <col min="10" max="10" width="18.33203125" customWidth="1"/>
    <col min="11" max="11" width="20.33203125" customWidth="1"/>
    <col min="12" max="12" width="11.33203125" customWidth="1"/>
    <col min="13" max="13" width="20.6640625" customWidth="1"/>
    <col min="14" max="14" width="11.6640625" customWidth="1"/>
    <col min="15" max="15" width="20.6640625" customWidth="1"/>
    <col min="16" max="16" width="11.6640625" customWidth="1"/>
    <col min="17" max="20" width="12.33203125" customWidth="1"/>
    <col min="21" max="21" width="11.33203125" customWidth="1"/>
    <col min="22" max="22" width="17.44140625" customWidth="1"/>
    <col min="23" max="23" width="11.109375" customWidth="1"/>
    <col min="24" max="24" width="6.6640625" customWidth="1"/>
    <col min="25" max="28" width="8.33203125" customWidth="1"/>
    <col min="29" max="29" width="13.44140625" bestFit="1" customWidth="1"/>
    <col min="30" max="31" width="11.6640625" customWidth="1"/>
    <col min="32" max="32" width="13.33203125" customWidth="1"/>
    <col min="33" max="33" width="16.109375" customWidth="1"/>
    <col min="34" max="34" width="15.33203125" customWidth="1"/>
    <col min="35" max="35" width="14.6640625" customWidth="1"/>
    <col min="36" max="36" width="11.88671875" bestFit="1" customWidth="1"/>
    <col min="37" max="37" width="17.109375" customWidth="1"/>
    <col min="38" max="38" width="9.109375" customWidth="1"/>
    <col min="39" max="42" width="20.6640625" customWidth="1"/>
    <col min="43" max="43" width="21.44140625" style="4" customWidth="1"/>
    <col min="44" max="44" width="21.44140625" customWidth="1"/>
    <col min="45" max="45" width="17.6640625" style="4" customWidth="1"/>
    <col min="46" max="46" width="18.33203125" style="4" customWidth="1"/>
    <col min="47" max="47" width="16.5546875" customWidth="1"/>
    <col min="48" max="77" width="9.109375" customWidth="1"/>
  </cols>
  <sheetData>
    <row r="1" spans="1:47" x14ac:dyDescent="0.25">
      <c r="B1" s="200">
        <v>1</v>
      </c>
      <c r="C1" s="200">
        <v>2</v>
      </c>
      <c r="D1" s="200">
        <v>3</v>
      </c>
      <c r="E1" s="200">
        <v>4</v>
      </c>
      <c r="F1" s="200">
        <v>5</v>
      </c>
      <c r="G1" s="200">
        <v>6</v>
      </c>
      <c r="H1" s="200">
        <v>7</v>
      </c>
      <c r="I1" s="200">
        <v>8</v>
      </c>
      <c r="J1" s="200">
        <v>9</v>
      </c>
      <c r="K1" s="200">
        <v>10</v>
      </c>
      <c r="L1" s="200">
        <v>11</v>
      </c>
      <c r="M1" s="200">
        <v>12</v>
      </c>
      <c r="N1" s="200">
        <v>13</v>
      </c>
      <c r="O1" s="200">
        <v>14</v>
      </c>
      <c r="P1" s="200">
        <v>15</v>
      </c>
      <c r="Q1" s="200">
        <v>16</v>
      </c>
      <c r="R1" s="200">
        <v>17</v>
      </c>
      <c r="S1" s="200">
        <v>18</v>
      </c>
      <c r="T1" s="200">
        <v>19</v>
      </c>
      <c r="U1" s="200">
        <v>20</v>
      </c>
      <c r="V1" s="200">
        <v>21</v>
      </c>
      <c r="W1" s="200">
        <v>22</v>
      </c>
      <c r="X1" s="200">
        <v>23</v>
      </c>
      <c r="Y1" s="200">
        <v>24</v>
      </c>
      <c r="Z1" s="200">
        <v>25</v>
      </c>
      <c r="AA1" s="200">
        <v>26</v>
      </c>
      <c r="AB1" s="200">
        <v>27</v>
      </c>
      <c r="AC1" s="200">
        <v>28</v>
      </c>
      <c r="AD1" s="200">
        <v>29</v>
      </c>
      <c r="AE1" s="200">
        <v>30</v>
      </c>
      <c r="AF1" s="200">
        <v>31</v>
      </c>
      <c r="AG1" s="200">
        <v>32</v>
      </c>
      <c r="AH1" s="200">
        <v>33</v>
      </c>
      <c r="AI1" s="200">
        <v>34</v>
      </c>
      <c r="AJ1" s="200">
        <v>35</v>
      </c>
      <c r="AK1" s="200">
        <v>36</v>
      </c>
      <c r="AL1" s="200">
        <v>37</v>
      </c>
      <c r="AM1" s="200">
        <v>38</v>
      </c>
      <c r="AN1" s="200">
        <v>39</v>
      </c>
      <c r="AO1" s="200">
        <v>40</v>
      </c>
      <c r="AP1" s="200">
        <v>41</v>
      </c>
      <c r="AQ1" s="166">
        <v>42</v>
      </c>
      <c r="AR1" s="200">
        <v>43</v>
      </c>
      <c r="AS1" s="166">
        <v>44</v>
      </c>
      <c r="AT1" s="166">
        <v>45</v>
      </c>
      <c r="AU1" s="166">
        <v>46</v>
      </c>
    </row>
    <row r="2" spans="1:47" x14ac:dyDescent="0.25">
      <c r="F2" s="277" t="s">
        <v>562</v>
      </c>
      <c r="G2" s="278"/>
      <c r="H2" s="278"/>
      <c r="I2" s="279"/>
      <c r="J2" s="277" t="s">
        <v>563</v>
      </c>
      <c r="K2" s="278"/>
      <c r="L2" s="278"/>
      <c r="M2" s="279"/>
      <c r="N2" s="280" t="s">
        <v>98</v>
      </c>
      <c r="O2" s="281"/>
      <c r="P2" s="281"/>
      <c r="Q2" s="277" t="s">
        <v>138</v>
      </c>
      <c r="R2" s="278"/>
      <c r="S2" s="278"/>
      <c r="T2" s="278"/>
      <c r="U2" s="279"/>
      <c r="AD2" s="277" t="s">
        <v>136</v>
      </c>
      <c r="AE2" s="278"/>
      <c r="AF2" s="278"/>
      <c r="AG2" s="279"/>
      <c r="AH2" s="277" t="s">
        <v>137</v>
      </c>
      <c r="AI2" s="278"/>
      <c r="AJ2" s="278"/>
      <c r="AK2" s="279"/>
      <c r="AM2" s="140" t="s">
        <v>139</v>
      </c>
      <c r="AN2" s="140" t="s">
        <v>140</v>
      </c>
      <c r="AO2" s="140" t="s">
        <v>139</v>
      </c>
      <c r="AP2" s="140" t="s">
        <v>140</v>
      </c>
      <c r="AQ2" s="167" t="s">
        <v>139</v>
      </c>
      <c r="AR2" s="168" t="s">
        <v>140</v>
      </c>
      <c r="AS2" s="167" t="s">
        <v>141</v>
      </c>
      <c r="AT2" s="167" t="s">
        <v>139</v>
      </c>
      <c r="AU2" s="167" t="s">
        <v>140</v>
      </c>
    </row>
    <row r="3" spans="1:47" ht="120" customHeight="1" x14ac:dyDescent="0.3">
      <c r="A3" s="10" t="s">
        <v>142</v>
      </c>
      <c r="B3" s="10" t="s">
        <v>143</v>
      </c>
      <c r="C3" s="7" t="s">
        <v>564</v>
      </c>
      <c r="D3" s="7">
        <v>2024</v>
      </c>
      <c r="E3" s="9" t="s">
        <v>565</v>
      </c>
      <c r="F3" s="130" t="s">
        <v>145</v>
      </c>
      <c r="G3" s="130" t="s">
        <v>146</v>
      </c>
      <c r="H3" s="130" t="s">
        <v>147</v>
      </c>
      <c r="I3" s="130" t="s">
        <v>148</v>
      </c>
      <c r="J3" s="130" t="s">
        <v>145</v>
      </c>
      <c r="K3" s="130" t="s">
        <v>146</v>
      </c>
      <c r="L3" s="130" t="s">
        <v>147</v>
      </c>
      <c r="M3" s="130" t="s">
        <v>148</v>
      </c>
      <c r="N3" s="8" t="s">
        <v>149</v>
      </c>
      <c r="O3" s="8" t="s">
        <v>150</v>
      </c>
      <c r="P3" s="8" t="s">
        <v>151</v>
      </c>
      <c r="Q3" s="177" t="s">
        <v>152</v>
      </c>
      <c r="R3" s="177" t="s">
        <v>153</v>
      </c>
      <c r="S3" s="177" t="s">
        <v>154</v>
      </c>
      <c r="T3" s="177" t="s">
        <v>155</v>
      </c>
      <c r="U3" s="177" t="s">
        <v>566</v>
      </c>
      <c r="V3" s="7" t="s">
        <v>156</v>
      </c>
      <c r="W3" s="7" t="s">
        <v>157</v>
      </c>
      <c r="X3" s="7" t="s">
        <v>158</v>
      </c>
      <c r="Y3" s="7" t="s">
        <v>159</v>
      </c>
      <c r="Z3" s="7" t="s">
        <v>159</v>
      </c>
      <c r="AA3" s="7" t="s">
        <v>159</v>
      </c>
      <c r="AB3" s="7" t="s">
        <v>159</v>
      </c>
      <c r="AC3" s="176" t="s">
        <v>144</v>
      </c>
      <c r="AD3" s="139" t="s">
        <v>145</v>
      </c>
      <c r="AE3" s="139" t="s">
        <v>146</v>
      </c>
      <c r="AF3" s="139" t="s">
        <v>147</v>
      </c>
      <c r="AG3" s="139" t="s">
        <v>148</v>
      </c>
      <c r="AH3" s="139" t="s">
        <v>145</v>
      </c>
      <c r="AI3" s="139" t="s">
        <v>146</v>
      </c>
      <c r="AJ3" s="139" t="s">
        <v>147</v>
      </c>
      <c r="AK3" s="139" t="s">
        <v>148</v>
      </c>
      <c r="AL3" s="139" t="s">
        <v>159</v>
      </c>
      <c r="AM3" s="139" t="s">
        <v>148</v>
      </c>
      <c r="AN3" s="139" t="s">
        <v>148</v>
      </c>
      <c r="AO3" s="139" t="s">
        <v>145</v>
      </c>
      <c r="AP3" s="139" t="s">
        <v>145</v>
      </c>
      <c r="AQ3" s="165" t="s">
        <v>160</v>
      </c>
      <c r="AR3" s="2" t="s">
        <v>160</v>
      </c>
      <c r="AS3" s="165" t="s">
        <v>141</v>
      </c>
      <c r="AT3" s="179" t="s">
        <v>146</v>
      </c>
      <c r="AU3" s="139" t="s">
        <v>146</v>
      </c>
    </row>
    <row r="4" spans="1:47" x14ac:dyDescent="0.25">
      <c r="A4" s="2" t="s">
        <v>161</v>
      </c>
      <c r="B4">
        <v>20100</v>
      </c>
      <c r="C4" s="4">
        <f>VLOOKUP(B4,'ER Contributions'!A:D,4,FALSE)</f>
        <v>25012793.400000002</v>
      </c>
      <c r="D4" s="5">
        <f>VLOOKUP(B4,'ER Contributions'!A:D,3,FALSE)</f>
        <v>8.0657999999999997E-3</v>
      </c>
      <c r="E4" s="6">
        <f>VLOOKUP(B4,'68 - Summary Exhibit'!A:N,3,FALSE)</f>
        <v>119508361</v>
      </c>
      <c r="F4" s="6">
        <f>VLOOKUP(B4,'68 - Summary Exhibit'!A:N,4,FALSE)</f>
        <v>10769779</v>
      </c>
      <c r="G4" s="6">
        <f>VLOOKUP(B4,'68 - Summary Exhibit'!A:N,5,FALSE)</f>
        <v>19706363</v>
      </c>
      <c r="H4" s="6">
        <f>VLOOKUP(B4,'68 - Summary Exhibit'!A:N,6,FALSE)</f>
        <v>0</v>
      </c>
      <c r="I4" s="4">
        <f>VLOOKUP(B4,'68 - Summary Exhibit'!A:N,7,FALSE)</f>
        <v>7079841</v>
      </c>
      <c r="J4" s="4">
        <f>VLOOKUP(B4,'68 - Summary Exhibit'!A:N,8,FALSE)</f>
        <v>353282</v>
      </c>
      <c r="K4" s="4">
        <f>VLOOKUP(B4,'68 - Summary Exhibit'!A:N,9,FALSE)</f>
        <v>0</v>
      </c>
      <c r="L4" s="4">
        <f>VLOOKUP(B4,'68 - Summary Exhibit'!A:N,10,FALSE)</f>
        <v>0</v>
      </c>
      <c r="M4" s="4">
        <f>VLOOKUP(B4,'68 - Summary Exhibit'!A:N,11,FALSE)</f>
        <v>188964</v>
      </c>
      <c r="N4" s="4">
        <f>VLOOKUP(B4,'68 - Summary Exhibit'!A:N,12,FALSE)</f>
        <v>33014497</v>
      </c>
      <c r="O4" s="4">
        <f>VLOOKUP(B4,'68 - Summary Exhibit'!A:N,13,FALSE)</f>
        <v>3218289</v>
      </c>
      <c r="P4" s="4">
        <f t="shared" ref="P4:P34" si="0">N4+O4</f>
        <v>36232786</v>
      </c>
      <c r="Q4" s="4">
        <f>VLOOKUP(B4,'68- Deferred Amortization'!A:G,3,FALSE)</f>
        <v>12369174.855213266</v>
      </c>
      <c r="R4" s="4">
        <f>VLOOKUP(B4,'68- Deferred Amortization'!A:G,4,FALSE)</f>
        <v>27263631.942488544</v>
      </c>
      <c r="S4" s="4">
        <f>VLOOKUP(B4,'68- Deferred Amortization'!A:G,5,FALSE)</f>
        <v>-509645.63879999996</v>
      </c>
      <c r="T4" s="4">
        <f>VLOOKUP(B4,'68- Deferred Amortization'!A:G,6,FALSE)</f>
        <v>-2109424.4765999997</v>
      </c>
      <c r="U4" s="4">
        <f>VLOOKUP(B4,'68- Deferred Amortization'!A:G,7,FALSE)</f>
        <v>0</v>
      </c>
      <c r="V4" s="4">
        <f t="shared" ref="V4:V35" si="1">ROUND(((F4-AD4)+(G4-AE4)+(H4-AF4)+(I4-AG4)+(AI4-K4)+P4-(E4-AC4)-(J4-AH4)-(M4-AK4)-C4),0)</f>
        <v>3</v>
      </c>
      <c r="W4" s="4">
        <f t="shared" ref="W4:W35" si="2">ROUND((F4+G4+H4+I4-J4-K4-L4-M4-Q4-R4-S4-T4-U4),0)</f>
        <v>0</v>
      </c>
      <c r="X4">
        <v>1</v>
      </c>
      <c r="AC4" s="6">
        <v>123042569</v>
      </c>
      <c r="AD4" s="6">
        <v>10030880</v>
      </c>
      <c r="AE4" s="6">
        <v>34267346</v>
      </c>
      <c r="AF4" s="6">
        <v>4321092</v>
      </c>
      <c r="AG4" s="4">
        <v>4567353</v>
      </c>
      <c r="AH4" s="4">
        <v>908141</v>
      </c>
      <c r="AI4" s="4">
        <v>0</v>
      </c>
      <c r="AJ4" s="4">
        <v>0</v>
      </c>
      <c r="AK4" s="4">
        <v>510595</v>
      </c>
      <c r="AM4" s="4">
        <f t="shared" ref="AM4:AM35" si="3">I4-AG4</f>
        <v>2512488</v>
      </c>
      <c r="AN4" s="4">
        <f t="shared" ref="AN4:AN35" si="4">M4-AK4</f>
        <v>-321631</v>
      </c>
      <c r="AO4" s="6">
        <f t="shared" ref="AO4:AO35" si="5">F4-AD4</f>
        <v>738899</v>
      </c>
      <c r="AP4" s="4">
        <f t="shared" ref="AP4:AP35" si="6">J4-AH4</f>
        <v>-554859</v>
      </c>
      <c r="AQ4" s="4">
        <f t="shared" ref="AQ4:AQ35" si="7">H4-AF4</f>
        <v>-4321092</v>
      </c>
      <c r="AR4" s="4">
        <f t="shared" ref="AR4:AR35" si="8">L4-AJ4</f>
        <v>0</v>
      </c>
      <c r="AS4" s="4">
        <f t="shared" ref="AS4:AS35" si="9">E4-AC4</f>
        <v>-3534208</v>
      </c>
      <c r="AT4" s="4">
        <f t="shared" ref="AT4:AT35" si="10">SUM(G4-AE4)</f>
        <v>-14560983</v>
      </c>
      <c r="AU4" s="4">
        <f t="shared" ref="AU4:AU35" si="11">SUM(K4-AI4)</f>
        <v>0</v>
      </c>
    </row>
    <row r="5" spans="1:47" x14ac:dyDescent="0.25">
      <c r="A5" t="s">
        <v>162</v>
      </c>
      <c r="B5">
        <v>20300</v>
      </c>
      <c r="C5" s="4">
        <f>VLOOKUP(B5,'ER Contributions'!A:D,4,FALSE)</f>
        <v>42978281.039999999</v>
      </c>
      <c r="D5" s="5">
        <f>VLOOKUP(B5,'ER Contributions'!A:D,3,FALSE)</f>
        <v>1.3647599999999999E-2</v>
      </c>
      <c r="E5" s="6">
        <f>VLOOKUP(B5,'68 - Summary Exhibit'!A:N,3,FALSE)</f>
        <v>202212095</v>
      </c>
      <c r="F5" s="6">
        <f>VLOOKUP(B5,'68 - Summary Exhibit'!A:N,4,FALSE)</f>
        <v>18222821</v>
      </c>
      <c r="G5" s="6">
        <f>VLOOKUP(B5,'68 - Summary Exhibit'!A:N,5,FALSE)</f>
        <v>33343816</v>
      </c>
      <c r="H5" s="6">
        <f>VLOOKUP(B5,'68 - Summary Exhibit'!A:N,6,FALSE)</f>
        <v>0</v>
      </c>
      <c r="I5" s="4">
        <f>VLOOKUP(B5,'68 - Summary Exhibit'!A:N,7,FALSE)</f>
        <v>5641859</v>
      </c>
      <c r="J5" s="4">
        <f>VLOOKUP(B5,'68 - Summary Exhibit'!A:N,8,FALSE)</f>
        <v>597765</v>
      </c>
      <c r="K5" s="4">
        <f>VLOOKUP(B5,'68 - Summary Exhibit'!A:N,9,FALSE)</f>
        <v>0</v>
      </c>
      <c r="L5" s="4">
        <f>VLOOKUP(B5,'68 - Summary Exhibit'!A:N,10,FALSE)</f>
        <v>0</v>
      </c>
      <c r="M5" s="4">
        <f>VLOOKUP(B5,'68 - Summary Exhibit'!A:N,11,FALSE)</f>
        <v>1623479</v>
      </c>
      <c r="N5" s="4">
        <f>VLOOKUP(B5,'68 - Summary Exhibit'!A:N,12,FALSE)</f>
        <v>55861619</v>
      </c>
      <c r="O5" s="4">
        <f>VLOOKUP(B5,'68 - Summary Exhibit'!A:N,13,FALSE)</f>
        <v>64551</v>
      </c>
      <c r="P5" s="4">
        <f t="shared" si="0"/>
        <v>55926170</v>
      </c>
      <c r="Q5" s="4">
        <f>VLOOKUP(B5,'68- Deferred Amortization'!A:G,3,FALSE)</f>
        <v>16456573.082068946</v>
      </c>
      <c r="R5" s="4">
        <f>VLOOKUP(B5,'68- Deferred Amortization'!A:G,4,FALSE)</f>
        <v>42962233.144416764</v>
      </c>
      <c r="S5" s="4">
        <f>VLOOKUP(B5,'68- Deferred Amortization'!A:G,5,FALSE)</f>
        <v>-862337.25359999994</v>
      </c>
      <c r="T5" s="4">
        <f>VLOOKUP(B5,'68- Deferred Amortization'!A:G,6,FALSE)</f>
        <v>-3569215.8851999999</v>
      </c>
      <c r="U5" s="4">
        <f>VLOOKUP(B5,'68- Deferred Amortization'!A:G,7,FALSE)</f>
        <v>0</v>
      </c>
      <c r="V5" s="4">
        <f t="shared" si="1"/>
        <v>-2</v>
      </c>
      <c r="W5" s="4">
        <f t="shared" si="2"/>
        <v>-1</v>
      </c>
      <c r="X5">
        <v>1</v>
      </c>
      <c r="AC5" s="6">
        <v>220513650</v>
      </c>
      <c r="AD5" s="6">
        <v>17977079</v>
      </c>
      <c r="AE5" s="6">
        <v>61413035</v>
      </c>
      <c r="AF5" s="6">
        <v>7744148</v>
      </c>
      <c r="AG5" s="4">
        <v>5109839</v>
      </c>
      <c r="AH5" s="4">
        <v>1627546</v>
      </c>
      <c r="AI5" s="4">
        <v>0</v>
      </c>
      <c r="AJ5" s="4">
        <v>0</v>
      </c>
      <c r="AK5" s="4">
        <v>4379857</v>
      </c>
      <c r="AM5" s="4">
        <f t="shared" si="3"/>
        <v>532020</v>
      </c>
      <c r="AN5" s="4">
        <f t="shared" si="4"/>
        <v>-2756378</v>
      </c>
      <c r="AO5" s="6">
        <f t="shared" si="5"/>
        <v>245742</v>
      </c>
      <c r="AP5" s="4">
        <f t="shared" si="6"/>
        <v>-1029781</v>
      </c>
      <c r="AQ5" s="4">
        <f t="shared" si="7"/>
        <v>-7744148</v>
      </c>
      <c r="AR5" s="4">
        <f t="shared" si="8"/>
        <v>0</v>
      </c>
      <c r="AS5" s="4">
        <f t="shared" si="9"/>
        <v>-18301555</v>
      </c>
      <c r="AT5" s="4">
        <f t="shared" si="10"/>
        <v>-28069219</v>
      </c>
      <c r="AU5" s="4">
        <f t="shared" si="11"/>
        <v>0</v>
      </c>
    </row>
    <row r="6" spans="1:47" x14ac:dyDescent="0.25">
      <c r="A6" t="s">
        <v>163</v>
      </c>
      <c r="B6">
        <v>20400</v>
      </c>
      <c r="C6" s="4">
        <f>VLOOKUP(B6,'ER Contributions'!A:D,4,FALSE)</f>
        <v>3819092.1100000003</v>
      </c>
      <c r="D6" s="5">
        <f>VLOOKUP(B6,'ER Contributions'!A:D,3,FALSE)</f>
        <v>1.1655000000000001E-3</v>
      </c>
      <c r="E6" s="6">
        <f>VLOOKUP(B6,'68 - Summary Exhibit'!A:N,3,FALSE)</f>
        <v>17268838</v>
      </c>
      <c r="F6" s="6">
        <f>VLOOKUP(B6,'68 - Summary Exhibit'!A:N,4,FALSE)</f>
        <v>1556222</v>
      </c>
      <c r="G6" s="6">
        <f>VLOOKUP(B6,'68 - Summary Exhibit'!A:N,5,FALSE)</f>
        <v>2847550</v>
      </c>
      <c r="H6" s="6">
        <f>VLOOKUP(B6,'68 - Summary Exhibit'!A:N,6,FALSE)</f>
        <v>0</v>
      </c>
      <c r="I6" s="4">
        <f>VLOOKUP(B6,'68 - Summary Exhibit'!A:N,7,FALSE)</f>
        <v>924807</v>
      </c>
      <c r="J6" s="4">
        <f>VLOOKUP(B6,'68 - Summary Exhibit'!A:N,8,FALSE)</f>
        <v>51049</v>
      </c>
      <c r="K6" s="4">
        <f>VLOOKUP(B6,'68 - Summary Exhibit'!A:N,9,FALSE)</f>
        <v>0</v>
      </c>
      <c r="L6" s="4">
        <f>VLOOKUP(B6,'68 - Summary Exhibit'!A:N,10,FALSE)</f>
        <v>0</v>
      </c>
      <c r="M6" s="4">
        <f>VLOOKUP(B6,'68 - Summary Exhibit'!A:N,11,FALSE)</f>
        <v>0</v>
      </c>
      <c r="N6" s="4">
        <f>VLOOKUP(B6,'68 - Summary Exhibit'!A:N,12,FALSE)</f>
        <v>4770562</v>
      </c>
      <c r="O6" s="4">
        <f>VLOOKUP(B6,'68 - Summary Exhibit'!A:N,13,FALSE)</f>
        <v>564514</v>
      </c>
      <c r="P6" s="4">
        <f t="shared" si="0"/>
        <v>5335076</v>
      </c>
      <c r="Q6" s="4">
        <f>VLOOKUP(B6,'68- Deferred Amortization'!A:G,3,FALSE)</f>
        <v>1787146.3308623494</v>
      </c>
      <c r="R6" s="4">
        <f>VLOOKUP(B6,'68- Deferred Amortization'!A:G,4,FALSE)</f>
        <v>3868837.061352415</v>
      </c>
      <c r="S6" s="4">
        <f>VLOOKUP(B6,'68- Deferred Amortization'!A:G,5,FALSE)</f>
        <v>-73643.28300000001</v>
      </c>
      <c r="T6" s="4">
        <f>VLOOKUP(B6,'68- Deferred Amortization'!A:G,6,FALSE)</f>
        <v>-304809.71850000002</v>
      </c>
      <c r="U6" s="4">
        <f>VLOOKUP(B6,'68- Deferred Amortization'!A:G,7,FALSE)</f>
        <v>0</v>
      </c>
      <c r="V6" s="4">
        <f t="shared" si="1"/>
        <v>0</v>
      </c>
      <c r="W6" s="4">
        <f t="shared" si="2"/>
        <v>0</v>
      </c>
      <c r="X6">
        <v>1</v>
      </c>
      <c r="AC6" s="6">
        <v>18284164</v>
      </c>
      <c r="AD6" s="6">
        <v>1490592</v>
      </c>
      <c r="AE6" s="6">
        <v>5092138</v>
      </c>
      <c r="AF6" s="6">
        <v>642116</v>
      </c>
      <c r="AG6" s="4">
        <v>718944</v>
      </c>
      <c r="AH6" s="4">
        <v>134950</v>
      </c>
      <c r="AI6" s="4">
        <v>0</v>
      </c>
      <c r="AJ6" s="4">
        <v>0</v>
      </c>
      <c r="AK6" s="4">
        <v>0</v>
      </c>
      <c r="AM6" s="4">
        <f t="shared" si="3"/>
        <v>205863</v>
      </c>
      <c r="AN6" s="4">
        <f t="shared" si="4"/>
        <v>0</v>
      </c>
      <c r="AO6" s="6">
        <f t="shared" si="5"/>
        <v>65630</v>
      </c>
      <c r="AP6" s="4">
        <f t="shared" si="6"/>
        <v>-83901</v>
      </c>
      <c r="AQ6" s="4">
        <f t="shared" si="7"/>
        <v>-642116</v>
      </c>
      <c r="AR6" s="4">
        <f t="shared" si="8"/>
        <v>0</v>
      </c>
      <c r="AS6" s="4">
        <f t="shared" si="9"/>
        <v>-1015326</v>
      </c>
      <c r="AT6" s="4">
        <f t="shared" si="10"/>
        <v>-2244588</v>
      </c>
      <c r="AU6" s="4">
        <f t="shared" si="11"/>
        <v>0</v>
      </c>
    </row>
    <row r="7" spans="1:47" x14ac:dyDescent="0.25">
      <c r="A7" t="s">
        <v>3</v>
      </c>
      <c r="B7">
        <v>20600</v>
      </c>
      <c r="C7" s="4">
        <f>VLOOKUP(B7,'ER Contributions'!A:D,4,FALSE)</f>
        <v>7927046.6900000004</v>
      </c>
      <c r="D7" s="5">
        <f>VLOOKUP(B7,'ER Contributions'!A:D,3,FALSE)</f>
        <v>2.4325000000000002E-3</v>
      </c>
      <c r="E7" s="6">
        <f>VLOOKUP(B7,'68 - Summary Exhibit'!A:N,3,FALSE)</f>
        <v>36041569</v>
      </c>
      <c r="F7" s="6">
        <f>VLOOKUP(B7,'68 - Summary Exhibit'!A:N,4,FALSE)</f>
        <v>3247971</v>
      </c>
      <c r="G7" s="6">
        <f>VLOOKUP(B7,'68 - Summary Exhibit'!A:N,5,FALSE)</f>
        <v>5943084</v>
      </c>
      <c r="H7" s="6">
        <f>VLOOKUP(B7,'68 - Summary Exhibit'!A:N,6,FALSE)</f>
        <v>0</v>
      </c>
      <c r="I7" s="4">
        <f>VLOOKUP(B7,'68 - Summary Exhibit'!A:N,7,FALSE)</f>
        <v>3372954</v>
      </c>
      <c r="J7" s="4">
        <f>VLOOKUP(B7,'68 - Summary Exhibit'!A:N,8,FALSE)</f>
        <v>106544</v>
      </c>
      <c r="K7" s="4">
        <f>VLOOKUP(B7,'68 - Summary Exhibit'!A:N,9,FALSE)</f>
        <v>0</v>
      </c>
      <c r="L7" s="4">
        <f>VLOOKUP(B7,'68 - Summary Exhibit'!A:N,10,FALSE)</f>
        <v>0</v>
      </c>
      <c r="M7" s="4">
        <f>VLOOKUP(B7,'68 - Summary Exhibit'!A:N,11,FALSE)</f>
        <v>0</v>
      </c>
      <c r="N7" s="4">
        <f>VLOOKUP(B7,'68 - Summary Exhibit'!A:N,12,FALSE)</f>
        <v>9956578</v>
      </c>
      <c r="O7" s="4">
        <f>VLOOKUP(B7,'68 - Summary Exhibit'!A:N,13,FALSE)</f>
        <v>1669356</v>
      </c>
      <c r="P7" s="4">
        <f t="shared" si="0"/>
        <v>11625934</v>
      </c>
      <c r="Q7" s="4">
        <f>VLOOKUP(B7,'68- Deferred Amortization'!A:G,3,FALSE)</f>
        <v>4472232.5722031053</v>
      </c>
      <c r="R7" s="4">
        <f>VLOOKUP(B7,'68- Deferred Amortization'!A:G,4,FALSE)</f>
        <v>8775097.8780877255</v>
      </c>
      <c r="S7" s="4">
        <f>VLOOKUP(B7,'68- Deferred Amortization'!A:G,5,FALSE)</f>
        <v>-153699.94500000001</v>
      </c>
      <c r="T7" s="4">
        <f>VLOOKUP(B7,'68- Deferred Amortization'!A:G,6,FALSE)</f>
        <v>-636164.42750000011</v>
      </c>
      <c r="U7" s="4">
        <f>VLOOKUP(B7,'68- Deferred Amortization'!A:G,7,FALSE)</f>
        <v>0</v>
      </c>
      <c r="V7" s="4">
        <f t="shared" si="1"/>
        <v>-1</v>
      </c>
      <c r="W7" s="4">
        <f t="shared" si="2"/>
        <v>-1</v>
      </c>
      <c r="X7">
        <v>1</v>
      </c>
      <c r="AC7" s="6">
        <v>36558324</v>
      </c>
      <c r="AD7" s="6">
        <v>2980368</v>
      </c>
      <c r="AE7" s="6">
        <v>10181491</v>
      </c>
      <c r="AF7" s="6">
        <v>1283880</v>
      </c>
      <c r="AG7" s="4">
        <v>2580340</v>
      </c>
      <c r="AH7" s="4">
        <v>269826</v>
      </c>
      <c r="AI7" s="4">
        <v>0</v>
      </c>
      <c r="AJ7" s="4">
        <v>0</v>
      </c>
      <c r="AK7" s="4">
        <v>83145</v>
      </c>
      <c r="AM7" s="4">
        <f t="shared" si="3"/>
        <v>792614</v>
      </c>
      <c r="AN7" s="4">
        <f t="shared" si="4"/>
        <v>-83145</v>
      </c>
      <c r="AO7" s="6">
        <f t="shared" si="5"/>
        <v>267603</v>
      </c>
      <c r="AP7" s="4">
        <f t="shared" si="6"/>
        <v>-163282</v>
      </c>
      <c r="AQ7" s="4">
        <f t="shared" si="7"/>
        <v>-1283880</v>
      </c>
      <c r="AR7" s="4">
        <f t="shared" si="8"/>
        <v>0</v>
      </c>
      <c r="AS7" s="4">
        <f t="shared" si="9"/>
        <v>-516755</v>
      </c>
      <c r="AT7" s="4">
        <f t="shared" si="10"/>
        <v>-4238407</v>
      </c>
      <c r="AU7" s="4">
        <f t="shared" si="11"/>
        <v>0</v>
      </c>
    </row>
    <row r="8" spans="1:47" x14ac:dyDescent="0.25">
      <c r="A8" t="s">
        <v>164</v>
      </c>
      <c r="B8">
        <v>20800</v>
      </c>
      <c r="C8" s="4">
        <f>VLOOKUP(B8,'ER Contributions'!A:D,4,FALSE)</f>
        <v>11191848.449999997</v>
      </c>
      <c r="D8" s="5">
        <f>VLOOKUP(B8,'ER Contributions'!A:D,3,FALSE)</f>
        <v>3.2079000000000001E-3</v>
      </c>
      <c r="E8" s="6">
        <f>VLOOKUP(B8,'68 - Summary Exhibit'!A:N,3,FALSE)</f>
        <v>47530421</v>
      </c>
      <c r="F8" s="6">
        <f>VLOOKUP(B8,'68 - Summary Exhibit'!A:N,4,FALSE)</f>
        <v>4283316</v>
      </c>
      <c r="G8" s="6">
        <f>VLOOKUP(B8,'68 - Summary Exhibit'!A:N,5,FALSE)</f>
        <v>7837541</v>
      </c>
      <c r="H8" s="6">
        <f>VLOOKUP(B8,'68 - Summary Exhibit'!A:N,6,FALSE)</f>
        <v>0</v>
      </c>
      <c r="I8" s="4">
        <f>VLOOKUP(B8,'68 - Summary Exhibit'!A:N,7,FALSE)</f>
        <v>1030881</v>
      </c>
      <c r="J8" s="4">
        <f>VLOOKUP(B8,'68 - Summary Exhibit'!A:N,8,FALSE)</f>
        <v>140506</v>
      </c>
      <c r="K8" s="4">
        <f>VLOOKUP(B8,'68 - Summary Exhibit'!A:N,9,FALSE)</f>
        <v>0</v>
      </c>
      <c r="L8" s="4">
        <f>VLOOKUP(B8,'68 - Summary Exhibit'!A:N,10,FALSE)</f>
        <v>0</v>
      </c>
      <c r="M8" s="4">
        <f>VLOOKUP(B8,'68 - Summary Exhibit'!A:N,11,FALSE)</f>
        <v>311084</v>
      </c>
      <c r="N8" s="4">
        <f>VLOOKUP(B8,'68 - Summary Exhibit'!A:N,12,FALSE)</f>
        <v>13130403</v>
      </c>
      <c r="O8" s="4">
        <f>VLOOKUP(B8,'68 - Summary Exhibit'!A:N,13,FALSE)</f>
        <v>437126</v>
      </c>
      <c r="P8" s="4">
        <f t="shared" si="0"/>
        <v>13567529</v>
      </c>
      <c r="Q8" s="4">
        <f>VLOOKUP(B8,'68- Deferred Amortization'!A:G,3,FALSE)</f>
        <v>3980206.0258204555</v>
      </c>
      <c r="R8" s="4">
        <f>VLOOKUP(B8,'68- Deferred Amortization'!A:G,4,FALSE)</f>
        <v>9761589.1092387121</v>
      </c>
      <c r="S8" s="4">
        <f>VLOOKUP(B8,'68- Deferred Amortization'!A:G,5,FALSE)</f>
        <v>-202694.3694</v>
      </c>
      <c r="T8" s="4">
        <f>VLOOKUP(B8,'68- Deferred Amortization'!A:G,6,FALSE)</f>
        <v>-838952.46330000006</v>
      </c>
      <c r="U8" s="4">
        <f>VLOOKUP(B8,'68- Deferred Amortization'!A:G,7,FALSE)</f>
        <v>0</v>
      </c>
      <c r="V8" s="4">
        <f t="shared" si="1"/>
        <v>1</v>
      </c>
      <c r="W8" s="4">
        <f t="shared" si="2"/>
        <v>0</v>
      </c>
      <c r="X8">
        <v>1</v>
      </c>
      <c r="AC8" s="6">
        <v>52538420</v>
      </c>
      <c r="AD8" s="6">
        <v>4283124</v>
      </c>
      <c r="AE8" s="6">
        <v>14631946</v>
      </c>
      <c r="AF8" s="6">
        <v>1845080</v>
      </c>
      <c r="AG8" s="4">
        <v>178075</v>
      </c>
      <c r="AH8" s="4">
        <v>387771</v>
      </c>
      <c r="AI8" s="4">
        <v>0</v>
      </c>
      <c r="AJ8" s="4">
        <v>0</v>
      </c>
      <c r="AK8" s="4">
        <v>466627</v>
      </c>
      <c r="AM8" s="4">
        <f t="shared" si="3"/>
        <v>852806</v>
      </c>
      <c r="AN8" s="4">
        <f t="shared" si="4"/>
        <v>-155543</v>
      </c>
      <c r="AO8" s="6">
        <f t="shared" si="5"/>
        <v>192</v>
      </c>
      <c r="AP8" s="4">
        <f t="shared" si="6"/>
        <v>-247265</v>
      </c>
      <c r="AQ8" s="4">
        <f t="shared" si="7"/>
        <v>-1845080</v>
      </c>
      <c r="AR8" s="4">
        <f t="shared" si="8"/>
        <v>0</v>
      </c>
      <c r="AS8" s="4">
        <f t="shared" si="9"/>
        <v>-5007999</v>
      </c>
      <c r="AT8" s="4">
        <f t="shared" si="10"/>
        <v>-6794405</v>
      </c>
      <c r="AU8" s="4">
        <f t="shared" si="11"/>
        <v>0</v>
      </c>
    </row>
    <row r="9" spans="1:47" x14ac:dyDescent="0.25">
      <c r="A9" t="s">
        <v>165</v>
      </c>
      <c r="B9">
        <v>10950</v>
      </c>
      <c r="C9" s="4">
        <f>VLOOKUP(B9,'ER Contributions'!A:D,4,FALSE)</f>
        <v>3390681.64</v>
      </c>
      <c r="D9" s="5">
        <f>VLOOKUP(B9,'ER Contributions'!A:D,3,FALSE)</f>
        <v>1.0514999999999999E-3</v>
      </c>
      <c r="E9" s="6">
        <f>VLOOKUP(B9,'68 - Summary Exhibit'!A:N,3,FALSE)</f>
        <v>15579737</v>
      </c>
      <c r="F9" s="6">
        <f>VLOOKUP(B9,'68 - Summary Exhibit'!A:N,4,FALSE)</f>
        <v>1404005</v>
      </c>
      <c r="G9" s="6">
        <f>VLOOKUP(B9,'68 - Summary Exhibit'!A:N,5,FALSE)</f>
        <v>2569025</v>
      </c>
      <c r="H9" s="6">
        <f>VLOOKUP(B9,'68 - Summary Exhibit'!A:N,6,FALSE)</f>
        <v>0</v>
      </c>
      <c r="I9" s="4">
        <f>VLOOKUP(B9,'68 - Summary Exhibit'!A:N,7,FALSE)</f>
        <v>1934183</v>
      </c>
      <c r="J9" s="4">
        <f>VLOOKUP(B9,'68 - Summary Exhibit'!A:N,8,FALSE)</f>
        <v>46056</v>
      </c>
      <c r="K9" s="4">
        <f>VLOOKUP(B9,'68 - Summary Exhibit'!A:N,9,FALSE)</f>
        <v>0</v>
      </c>
      <c r="L9" s="4">
        <f>VLOOKUP(B9,'68 - Summary Exhibit'!A:N,10,FALSE)</f>
        <v>0</v>
      </c>
      <c r="M9" s="4">
        <f>VLOOKUP(B9,'68 - Summary Exhibit'!A:N,11,FALSE)</f>
        <v>0</v>
      </c>
      <c r="N9" s="4">
        <f>VLOOKUP(B9,'68 - Summary Exhibit'!A:N,12,FALSE)</f>
        <v>4303943</v>
      </c>
      <c r="O9" s="4">
        <f>VLOOKUP(B9,'68 - Summary Exhibit'!A:N,13,FALSE)</f>
        <v>1051665</v>
      </c>
      <c r="P9" s="4">
        <f t="shared" si="0"/>
        <v>5355608</v>
      </c>
      <c r="Q9" s="4">
        <f>VLOOKUP(B9,'68- Deferred Amortization'!A:G,3,FALSE)</f>
        <v>2203384.5061937012</v>
      </c>
      <c r="R9" s="4">
        <f>VLOOKUP(B9,'68- Deferred Amortization'!A:G,4,FALSE)</f>
        <v>3999208.6433320292</v>
      </c>
      <c r="S9" s="4">
        <f>VLOOKUP(B9,'68- Deferred Amortization'!A:G,5,FALSE)</f>
        <v>-66440.078999999998</v>
      </c>
      <c r="T9" s="4">
        <f>VLOOKUP(B9,'68- Deferred Amortization'!A:G,6,FALSE)</f>
        <v>-274995.64049999998</v>
      </c>
      <c r="U9" s="4">
        <f>VLOOKUP(B9,'68- Deferred Amortization'!A:G,7,FALSE)</f>
        <v>0</v>
      </c>
      <c r="V9" s="4">
        <f t="shared" si="1"/>
        <v>-2</v>
      </c>
      <c r="W9" s="4">
        <f t="shared" si="2"/>
        <v>0</v>
      </c>
      <c r="X9">
        <v>1</v>
      </c>
      <c r="AC9" s="6">
        <v>15166503</v>
      </c>
      <c r="AD9" s="6">
        <v>1236429</v>
      </c>
      <c r="AE9" s="6">
        <v>4223870</v>
      </c>
      <c r="AF9" s="6">
        <v>532628</v>
      </c>
      <c r="AG9" s="4">
        <v>1531863</v>
      </c>
      <c r="AH9" s="4">
        <v>111939</v>
      </c>
      <c r="AI9" s="4">
        <v>0</v>
      </c>
      <c r="AJ9" s="4">
        <v>0</v>
      </c>
      <c r="AK9" s="4">
        <v>0</v>
      </c>
      <c r="AM9" s="4">
        <f t="shared" si="3"/>
        <v>402320</v>
      </c>
      <c r="AN9" s="4">
        <f t="shared" si="4"/>
        <v>0</v>
      </c>
      <c r="AO9" s="6">
        <f t="shared" si="5"/>
        <v>167576</v>
      </c>
      <c r="AP9" s="4">
        <f t="shared" si="6"/>
        <v>-65883</v>
      </c>
      <c r="AQ9" s="4">
        <f t="shared" si="7"/>
        <v>-532628</v>
      </c>
      <c r="AR9" s="4">
        <f t="shared" si="8"/>
        <v>0</v>
      </c>
      <c r="AS9" s="4">
        <f t="shared" si="9"/>
        <v>413234</v>
      </c>
      <c r="AT9" s="4">
        <f t="shared" si="10"/>
        <v>-1654845</v>
      </c>
      <c r="AU9" s="4">
        <f t="shared" si="11"/>
        <v>0</v>
      </c>
    </row>
    <row r="10" spans="1:47" x14ac:dyDescent="0.25">
      <c r="A10" t="s">
        <v>166</v>
      </c>
      <c r="B10">
        <v>20200</v>
      </c>
      <c r="C10" s="4">
        <f>VLOOKUP(B10,'ER Contributions'!A:D,4,FALSE)</f>
        <v>3371336.4099999997</v>
      </c>
      <c r="D10" s="5">
        <f>VLOOKUP(B10,'ER Contributions'!A:D,3,FALSE)</f>
        <v>1.0313E-3</v>
      </c>
      <c r="E10" s="6">
        <f>VLOOKUP(B10,'68 - Summary Exhibit'!A:N,3,FALSE)</f>
        <v>15280440</v>
      </c>
      <c r="F10" s="6">
        <f>VLOOKUP(B10,'68 - Summary Exhibit'!A:N,4,FALSE)</f>
        <v>1377033</v>
      </c>
      <c r="G10" s="6">
        <f>VLOOKUP(B10,'68 - Summary Exhibit'!A:N,5,FALSE)</f>
        <v>2519672</v>
      </c>
      <c r="H10" s="6">
        <f>VLOOKUP(B10,'68 - Summary Exhibit'!A:N,6,FALSE)</f>
        <v>0</v>
      </c>
      <c r="I10" s="4">
        <f>VLOOKUP(B10,'68 - Summary Exhibit'!A:N,7,FALSE)</f>
        <v>607000</v>
      </c>
      <c r="J10" s="4">
        <f>VLOOKUP(B10,'68 - Summary Exhibit'!A:N,8,FALSE)</f>
        <v>45171</v>
      </c>
      <c r="K10" s="4">
        <f>VLOOKUP(B10,'68 - Summary Exhibit'!A:N,9,FALSE)</f>
        <v>0</v>
      </c>
      <c r="L10" s="4">
        <f>VLOOKUP(B10,'68 - Summary Exhibit'!A:N,10,FALSE)</f>
        <v>0</v>
      </c>
      <c r="M10" s="4">
        <f>VLOOKUP(B10,'68 - Summary Exhibit'!A:N,11,FALSE)</f>
        <v>0</v>
      </c>
      <c r="N10" s="4">
        <f>VLOOKUP(B10,'68 - Summary Exhibit'!A:N,12,FALSE)</f>
        <v>4221261</v>
      </c>
      <c r="O10" s="4">
        <f>VLOOKUP(B10,'68 - Summary Exhibit'!A:N,13,FALSE)</f>
        <v>403114</v>
      </c>
      <c r="P10" s="4">
        <f t="shared" si="0"/>
        <v>4624375</v>
      </c>
      <c r="Q10" s="4">
        <f>VLOOKUP(B10,'68- Deferred Amortization'!A:G,3,FALSE)</f>
        <v>1494436.2978093408</v>
      </c>
      <c r="R10" s="4">
        <f>VLOOKUP(B10,'68- Deferred Amortization'!A:G,4,FALSE)</f>
        <v>3298973.960758382</v>
      </c>
      <c r="S10" s="4">
        <f>VLOOKUP(B10,'68- Deferred Amortization'!A:G,5,FALSE)</f>
        <v>-65163.721799999999</v>
      </c>
      <c r="T10" s="4">
        <f>VLOOKUP(B10,'68- Deferred Amortization'!A:G,6,FALSE)</f>
        <v>-269712.79509999999</v>
      </c>
      <c r="U10" s="4">
        <f>VLOOKUP(B10,'68- Deferred Amortization'!A:G,7,FALSE)</f>
        <v>0</v>
      </c>
      <c r="V10" s="4">
        <f t="shared" si="1"/>
        <v>0</v>
      </c>
      <c r="W10" s="4">
        <f t="shared" si="2"/>
        <v>0</v>
      </c>
      <c r="X10">
        <v>1</v>
      </c>
      <c r="AC10" s="6">
        <v>16468585</v>
      </c>
      <c r="AD10" s="6">
        <v>1342579</v>
      </c>
      <c r="AE10" s="6">
        <v>4586500</v>
      </c>
      <c r="AF10" s="6">
        <v>578355</v>
      </c>
      <c r="AG10" s="4">
        <v>513834</v>
      </c>
      <c r="AH10" s="4">
        <v>121550</v>
      </c>
      <c r="AI10" s="4">
        <v>0</v>
      </c>
      <c r="AJ10" s="4">
        <v>0</v>
      </c>
      <c r="AK10" s="4">
        <v>0</v>
      </c>
      <c r="AM10" s="4">
        <f t="shared" si="3"/>
        <v>93166</v>
      </c>
      <c r="AN10" s="4">
        <f t="shared" si="4"/>
        <v>0</v>
      </c>
      <c r="AO10" s="6">
        <f t="shared" si="5"/>
        <v>34454</v>
      </c>
      <c r="AP10" s="4">
        <f t="shared" si="6"/>
        <v>-76379</v>
      </c>
      <c r="AQ10" s="4">
        <f t="shared" si="7"/>
        <v>-578355</v>
      </c>
      <c r="AR10" s="4">
        <f t="shared" si="8"/>
        <v>0</v>
      </c>
      <c r="AS10" s="4">
        <f t="shared" si="9"/>
        <v>-1188145</v>
      </c>
      <c r="AT10" s="4">
        <f t="shared" si="10"/>
        <v>-2066828</v>
      </c>
      <c r="AU10" s="4">
        <f t="shared" si="11"/>
        <v>0</v>
      </c>
    </row>
    <row r="11" spans="1:47" x14ac:dyDescent="0.25">
      <c r="A11" t="s">
        <v>167</v>
      </c>
      <c r="B11">
        <v>21300</v>
      </c>
      <c r="C11" s="4">
        <f>VLOOKUP(B11,'ER Contributions'!A:D,4,FALSE)</f>
        <v>74267627.909999996</v>
      </c>
      <c r="D11" s="5">
        <f>VLOOKUP(B11,'ER Contributions'!A:D,3,FALSE)</f>
        <v>2.30292E-2</v>
      </c>
      <c r="E11" s="6">
        <f>VLOOKUP(B11,'68 - Summary Exhibit'!A:N,3,FALSE)</f>
        <v>341216241</v>
      </c>
      <c r="F11" s="6">
        <f>VLOOKUP(B11,'68 - Summary Exhibit'!A:N,4,FALSE)</f>
        <v>30749509</v>
      </c>
      <c r="G11" s="6">
        <f>VLOOKUP(B11,'68 - Summary Exhibit'!A:N,5,FALSE)</f>
        <v>56264941</v>
      </c>
      <c r="H11" s="6">
        <f>VLOOKUP(B11,'68 - Summary Exhibit'!A:N,6,FALSE)</f>
        <v>0</v>
      </c>
      <c r="I11" s="4">
        <f>VLOOKUP(B11,'68 - Summary Exhibit'!A:N,7,FALSE)</f>
        <v>12805154</v>
      </c>
      <c r="J11" s="4">
        <f>VLOOKUP(B11,'68 - Summary Exhibit'!A:N,8,FALSE)</f>
        <v>1008679</v>
      </c>
      <c r="K11" s="4">
        <f>VLOOKUP(B11,'68 - Summary Exhibit'!A:N,9,FALSE)</f>
        <v>0</v>
      </c>
      <c r="L11" s="4">
        <f>VLOOKUP(B11,'68 - Summary Exhibit'!A:N,10,FALSE)</f>
        <v>0</v>
      </c>
      <c r="M11" s="4">
        <f>VLOOKUP(B11,'68 - Summary Exhibit'!A:N,11,FALSE)</f>
        <v>1961916</v>
      </c>
      <c r="N11" s="4">
        <f>VLOOKUP(B11,'68 - Summary Exhibit'!A:N,12,FALSE)</f>
        <v>94261878</v>
      </c>
      <c r="O11" s="4">
        <f>VLOOKUP(B11,'68 - Summary Exhibit'!A:N,13,FALSE)</f>
        <v>2683484</v>
      </c>
      <c r="P11" s="4">
        <f t="shared" si="0"/>
        <v>96945362</v>
      </c>
      <c r="Q11" s="4">
        <f>VLOOKUP(B11,'68- Deferred Amortization'!A:G,3,FALSE)</f>
        <v>30189172.005068436</v>
      </c>
      <c r="R11" s="4">
        <f>VLOOKUP(B11,'68- Deferred Amortization'!A:G,4,FALSE)</f>
        <v>74137717.527589023</v>
      </c>
      <c r="S11" s="4">
        <f>VLOOKUP(B11,'68- Deferred Amortization'!A:G,5,FALSE)</f>
        <v>-1455123.0312000001</v>
      </c>
      <c r="T11" s="4">
        <f>VLOOKUP(B11,'68- Deferred Amortization'!A:G,6,FALSE)</f>
        <v>-6022757.5883999998</v>
      </c>
      <c r="U11" s="4">
        <f>VLOOKUP(B11,'68- Deferred Amortization'!A:G,7,FALSE)</f>
        <v>0</v>
      </c>
      <c r="V11" s="4">
        <f t="shared" si="1"/>
        <v>2</v>
      </c>
      <c r="W11" s="4">
        <f t="shared" si="2"/>
        <v>0</v>
      </c>
      <c r="X11">
        <v>1</v>
      </c>
      <c r="AC11" s="6">
        <v>366706935</v>
      </c>
      <c r="AD11" s="6">
        <v>29895290</v>
      </c>
      <c r="AE11" s="6">
        <v>102127854</v>
      </c>
      <c r="AF11" s="6">
        <v>12878263</v>
      </c>
      <c r="AG11" s="4">
        <v>8503593</v>
      </c>
      <c r="AH11" s="4">
        <v>2706556</v>
      </c>
      <c r="AI11" s="4">
        <v>0</v>
      </c>
      <c r="AJ11" s="4">
        <v>0</v>
      </c>
      <c r="AK11" s="4">
        <v>5681009</v>
      </c>
      <c r="AM11" s="4">
        <f t="shared" si="3"/>
        <v>4301561</v>
      </c>
      <c r="AN11" s="4">
        <f t="shared" si="4"/>
        <v>-3719093</v>
      </c>
      <c r="AO11" s="6">
        <f t="shared" si="5"/>
        <v>854219</v>
      </c>
      <c r="AP11" s="4">
        <f t="shared" si="6"/>
        <v>-1697877</v>
      </c>
      <c r="AQ11" s="4">
        <f t="shared" si="7"/>
        <v>-12878263</v>
      </c>
      <c r="AR11" s="4">
        <f t="shared" si="8"/>
        <v>0</v>
      </c>
      <c r="AS11" s="4">
        <f t="shared" si="9"/>
        <v>-25490694</v>
      </c>
      <c r="AT11" s="4">
        <f t="shared" si="10"/>
        <v>-45862913</v>
      </c>
      <c r="AU11" s="4">
        <f t="shared" si="11"/>
        <v>0</v>
      </c>
    </row>
    <row r="12" spans="1:47" x14ac:dyDescent="0.25">
      <c r="A12" t="s">
        <v>168</v>
      </c>
      <c r="B12">
        <v>20700</v>
      </c>
      <c r="C12" s="4">
        <f>VLOOKUP(B12,'ER Contributions'!A:D,4,FALSE)</f>
        <v>15132595.199999997</v>
      </c>
      <c r="D12" s="5">
        <f>VLOOKUP(B12,'ER Contributions'!A:D,3,FALSE)</f>
        <v>4.3115999999999996E-3</v>
      </c>
      <c r="E12" s="6">
        <f>VLOOKUP(B12,'68 - Summary Exhibit'!A:N,3,FALSE)</f>
        <v>63883589</v>
      </c>
      <c r="F12" s="6">
        <f>VLOOKUP(B12,'68 - Summary Exhibit'!A:N,4,FALSE)</f>
        <v>5757021</v>
      </c>
      <c r="G12" s="6">
        <f>VLOOKUP(B12,'68 - Summary Exhibit'!A:N,5,FALSE)</f>
        <v>10534101</v>
      </c>
      <c r="H12" s="6">
        <f>VLOOKUP(B12,'68 - Summary Exhibit'!A:N,6,FALSE)</f>
        <v>0</v>
      </c>
      <c r="I12" s="4">
        <f>VLOOKUP(B12,'68 - Summary Exhibit'!A:N,7,FALSE)</f>
        <v>2846276</v>
      </c>
      <c r="J12" s="4">
        <f>VLOOKUP(B12,'68 - Summary Exhibit'!A:N,8,FALSE)</f>
        <v>188848</v>
      </c>
      <c r="K12" s="4">
        <f>VLOOKUP(B12,'68 - Summary Exhibit'!A:N,9,FALSE)</f>
        <v>0</v>
      </c>
      <c r="L12" s="4">
        <f>VLOOKUP(B12,'68 - Summary Exhibit'!A:N,10,FALSE)</f>
        <v>0</v>
      </c>
      <c r="M12" s="4">
        <f>VLOOKUP(B12,'68 - Summary Exhibit'!A:N,11,FALSE)</f>
        <v>335457</v>
      </c>
      <c r="N12" s="4">
        <f>VLOOKUP(B12,'68 - Summary Exhibit'!A:N,12,FALSE)</f>
        <v>17648008</v>
      </c>
      <c r="O12" s="4">
        <f>VLOOKUP(B12,'68 - Summary Exhibit'!A:N,13,FALSE)</f>
        <v>1331868</v>
      </c>
      <c r="P12" s="4">
        <f t="shared" si="0"/>
        <v>18979876</v>
      </c>
      <c r="Q12" s="4">
        <f>VLOOKUP(B12,'68- Deferred Amortization'!A:G,3,FALSE)</f>
        <v>5908399.0518826265</v>
      </c>
      <c r="R12" s="4">
        <f>VLOOKUP(B12,'68- Deferred Amortization'!A:G,4,FALSE)</f>
        <v>14104726.323970145</v>
      </c>
      <c r="S12" s="4">
        <f>VLOOKUP(B12,'68- Deferred Amortization'!A:G,5,FALSE)</f>
        <v>-272432.75759999995</v>
      </c>
      <c r="T12" s="4">
        <f>VLOOKUP(B12,'68- Deferred Amortization'!A:G,6,FALSE)</f>
        <v>-1127599.8132</v>
      </c>
      <c r="U12" s="4">
        <f>VLOOKUP(B12,'68- Deferred Amortization'!A:G,7,FALSE)</f>
        <v>0</v>
      </c>
      <c r="V12" s="4">
        <f t="shared" si="1"/>
        <v>0</v>
      </c>
      <c r="W12" s="4">
        <f t="shared" si="2"/>
        <v>0</v>
      </c>
      <c r="X12">
        <v>1</v>
      </c>
      <c r="AC12" s="6">
        <v>67806622</v>
      </c>
      <c r="AD12" s="6">
        <v>5527844</v>
      </c>
      <c r="AE12" s="6">
        <v>18884139</v>
      </c>
      <c r="AF12" s="6">
        <v>2381279</v>
      </c>
      <c r="AG12" s="4">
        <v>761520</v>
      </c>
      <c r="AH12" s="4">
        <v>500461</v>
      </c>
      <c r="AI12" s="4">
        <v>0</v>
      </c>
      <c r="AJ12" s="4">
        <v>0</v>
      </c>
      <c r="AK12" s="4">
        <v>670914</v>
      </c>
      <c r="AM12" s="4">
        <f t="shared" si="3"/>
        <v>2084756</v>
      </c>
      <c r="AN12" s="4">
        <f t="shared" si="4"/>
        <v>-335457</v>
      </c>
      <c r="AO12" s="6">
        <f t="shared" si="5"/>
        <v>229177</v>
      </c>
      <c r="AP12" s="4">
        <f t="shared" si="6"/>
        <v>-311613</v>
      </c>
      <c r="AQ12" s="4">
        <f t="shared" si="7"/>
        <v>-2381279</v>
      </c>
      <c r="AR12" s="4">
        <f t="shared" si="8"/>
        <v>0</v>
      </c>
      <c r="AS12" s="4">
        <f t="shared" si="9"/>
        <v>-3923033</v>
      </c>
      <c r="AT12" s="4">
        <f t="shared" si="10"/>
        <v>-8350038</v>
      </c>
      <c r="AU12" s="4">
        <f t="shared" si="11"/>
        <v>0</v>
      </c>
    </row>
    <row r="13" spans="1:47" x14ac:dyDescent="0.25">
      <c r="A13" t="s">
        <v>169</v>
      </c>
      <c r="B13">
        <v>21200</v>
      </c>
      <c r="C13" s="4">
        <f>VLOOKUP(B13,'ER Contributions'!A:D,4,FALSE)</f>
        <v>6728681.2999999989</v>
      </c>
      <c r="D13" s="5">
        <f>VLOOKUP(B13,'ER Contributions'!A:D,3,FALSE)</f>
        <v>2.0279E-3</v>
      </c>
      <c r="E13" s="6">
        <f>VLOOKUP(B13,'68 - Summary Exhibit'!A:N,3,FALSE)</f>
        <v>30046741</v>
      </c>
      <c r="F13" s="6">
        <f>VLOOKUP(B13,'68 - Summary Exhibit'!A:N,4,FALSE)</f>
        <v>2707733</v>
      </c>
      <c r="G13" s="6">
        <f>VLOOKUP(B13,'68 - Summary Exhibit'!A:N,5,FALSE)</f>
        <v>4954565</v>
      </c>
      <c r="H13" s="6">
        <f>VLOOKUP(B13,'68 - Summary Exhibit'!A:N,6,FALSE)</f>
        <v>0</v>
      </c>
      <c r="I13" s="4">
        <f>VLOOKUP(B13,'68 - Summary Exhibit'!A:N,7,FALSE)</f>
        <v>854332</v>
      </c>
      <c r="J13" s="4">
        <f>VLOOKUP(B13,'68 - Summary Exhibit'!A:N,8,FALSE)</f>
        <v>88822</v>
      </c>
      <c r="K13" s="4">
        <f>VLOOKUP(B13,'68 - Summary Exhibit'!A:N,9,FALSE)</f>
        <v>0</v>
      </c>
      <c r="L13" s="4">
        <f>VLOOKUP(B13,'68 - Summary Exhibit'!A:N,10,FALSE)</f>
        <v>0</v>
      </c>
      <c r="M13" s="4">
        <f>VLOOKUP(B13,'68 - Summary Exhibit'!A:N,11,FALSE)</f>
        <v>195961</v>
      </c>
      <c r="N13" s="4">
        <f>VLOOKUP(B13,'68 - Summary Exhibit'!A:N,12,FALSE)</f>
        <v>8300491</v>
      </c>
      <c r="O13" s="4">
        <f>VLOOKUP(B13,'68 - Summary Exhibit'!A:N,13,FALSE)</f>
        <v>268954</v>
      </c>
      <c r="P13" s="4">
        <f t="shared" si="0"/>
        <v>8569445</v>
      </c>
      <c r="Q13" s="4">
        <f>VLOOKUP(B13,'68- Deferred Amortization'!A:G,3,FALSE)</f>
        <v>2498561.747277061</v>
      </c>
      <c r="R13" s="4">
        <f>VLOOKUP(B13,'68- Deferred Amortization'!A:G,4,FALSE)</f>
        <v>6391771.4054656364</v>
      </c>
      <c r="S13" s="4">
        <f>VLOOKUP(B13,'68- Deferred Amortization'!A:G,5,FALSE)</f>
        <v>-128134.8894</v>
      </c>
      <c r="T13" s="4">
        <f>VLOOKUP(B13,'68- Deferred Amortization'!A:G,6,FALSE)</f>
        <v>-530350.60329999996</v>
      </c>
      <c r="U13" s="4">
        <f>VLOOKUP(B13,'68- Deferred Amortization'!A:G,7,FALSE)</f>
        <v>0</v>
      </c>
      <c r="V13" s="4">
        <f t="shared" si="1"/>
        <v>-1</v>
      </c>
      <c r="W13" s="4">
        <f t="shared" si="2"/>
        <v>-1</v>
      </c>
      <c r="X13">
        <v>1</v>
      </c>
      <c r="AC13" s="6">
        <v>33792442</v>
      </c>
      <c r="AD13" s="6">
        <v>2754883</v>
      </c>
      <c r="AE13" s="6">
        <v>9411193</v>
      </c>
      <c r="AF13" s="6">
        <v>1186746</v>
      </c>
      <c r="AG13" s="4">
        <v>1106824</v>
      </c>
      <c r="AH13" s="4">
        <v>249412</v>
      </c>
      <c r="AI13" s="4">
        <v>0</v>
      </c>
      <c r="AJ13" s="4">
        <v>0</v>
      </c>
      <c r="AK13" s="4">
        <v>391921</v>
      </c>
      <c r="AM13" s="4">
        <f t="shared" si="3"/>
        <v>-252492</v>
      </c>
      <c r="AN13" s="4">
        <f t="shared" si="4"/>
        <v>-195960</v>
      </c>
      <c r="AO13" s="6">
        <f t="shared" si="5"/>
        <v>-47150</v>
      </c>
      <c r="AP13" s="4">
        <f t="shared" si="6"/>
        <v>-160590</v>
      </c>
      <c r="AQ13" s="4">
        <f t="shared" si="7"/>
        <v>-1186746</v>
      </c>
      <c r="AR13" s="4">
        <f t="shared" si="8"/>
        <v>0</v>
      </c>
      <c r="AS13" s="4">
        <f t="shared" si="9"/>
        <v>-3745701</v>
      </c>
      <c r="AT13" s="4">
        <f t="shared" si="10"/>
        <v>-4456628</v>
      </c>
      <c r="AU13" s="4">
        <f t="shared" si="11"/>
        <v>0</v>
      </c>
    </row>
    <row r="14" spans="1:47" x14ac:dyDescent="0.25">
      <c r="A14" t="s">
        <v>170</v>
      </c>
      <c r="B14">
        <v>21550</v>
      </c>
      <c r="C14" s="4">
        <f>VLOOKUP(B14,'ER Contributions'!A:D,4,FALSE)</f>
        <v>121078373.22000007</v>
      </c>
      <c r="D14" s="5">
        <f>VLOOKUP(B14,'ER Contributions'!A:D,3,FALSE)</f>
        <v>3.8541699999999998E-2</v>
      </c>
      <c r="E14" s="6">
        <f>VLOOKUP(B14,'68 - Summary Exhibit'!A:N,3,FALSE)</f>
        <v>571059958</v>
      </c>
      <c r="F14" s="6">
        <f>VLOOKUP(B14,'68 - Summary Exhibit'!A:N,4,FALSE)</f>
        <v>51462420</v>
      </c>
      <c r="G14" s="6">
        <f>VLOOKUP(B14,'68 - Summary Exhibit'!A:N,5,FALSE)</f>
        <v>94165081</v>
      </c>
      <c r="H14" s="6">
        <f>VLOOKUP(B14,'68 - Summary Exhibit'!A:N,6,FALSE)</f>
        <v>0</v>
      </c>
      <c r="I14" s="4">
        <f>VLOOKUP(B14,'68 - Summary Exhibit'!A:N,7,FALSE)</f>
        <v>1489886</v>
      </c>
      <c r="J14" s="4">
        <f>VLOOKUP(B14,'68 - Summary Exhibit'!A:N,8,FALSE)</f>
        <v>1688126</v>
      </c>
      <c r="K14" s="4">
        <f>VLOOKUP(B14,'68 - Summary Exhibit'!A:N,9,FALSE)</f>
        <v>0</v>
      </c>
      <c r="L14" s="4">
        <f>VLOOKUP(B14,'68 - Summary Exhibit'!A:N,10,FALSE)</f>
        <v>0</v>
      </c>
      <c r="M14" s="4">
        <f>VLOOKUP(B14,'68 - Summary Exhibit'!A:N,11,FALSE)</f>
        <v>11907530</v>
      </c>
      <c r="N14" s="4">
        <f>VLOOKUP(B14,'68 - Summary Exhibit'!A:N,12,FALSE)</f>
        <v>157756805</v>
      </c>
      <c r="O14" s="4">
        <f>VLOOKUP(B14,'68 - Summary Exhibit'!A:N,13,FALSE)</f>
        <v>-3227697</v>
      </c>
      <c r="P14" s="4">
        <f t="shared" si="0"/>
        <v>154529108</v>
      </c>
      <c r="Q14" s="4">
        <f>VLOOKUP(B14,'68- Deferred Amortization'!A:G,3,FALSE)</f>
        <v>38449926.57033284</v>
      </c>
      <c r="R14" s="4">
        <f>VLOOKUP(B14,'68- Deferred Amortization'!A:G,4,FALSE)</f>
        <v>107586795.00020245</v>
      </c>
      <c r="S14" s="4">
        <f>VLOOKUP(B14,'68- Deferred Amortization'!A:G,5,FALSE)</f>
        <v>-2435295.8562000003</v>
      </c>
      <c r="T14" s="4">
        <f>VLOOKUP(B14,'68- Deferred Amortization'!A:G,6,FALSE)</f>
        <v>-10079695.175900001</v>
      </c>
      <c r="U14" s="4">
        <f>VLOOKUP(B14,'68- Deferred Amortization'!A:G,7,FALSE)</f>
        <v>0</v>
      </c>
      <c r="V14" s="4">
        <f t="shared" si="1"/>
        <v>3</v>
      </c>
      <c r="W14" s="4">
        <f t="shared" si="2"/>
        <v>0</v>
      </c>
      <c r="X14">
        <v>1</v>
      </c>
      <c r="AC14" s="6">
        <v>666902661</v>
      </c>
      <c r="AD14" s="6">
        <v>54368343</v>
      </c>
      <c r="AE14" s="6">
        <v>185732340</v>
      </c>
      <c r="AF14" s="6">
        <v>23420740</v>
      </c>
      <c r="AG14" s="4">
        <v>4215955</v>
      </c>
      <c r="AH14" s="4">
        <v>4922212</v>
      </c>
      <c r="AI14" s="4">
        <v>0</v>
      </c>
      <c r="AJ14" s="4">
        <v>0</v>
      </c>
      <c r="AK14" s="4">
        <v>0</v>
      </c>
      <c r="AM14" s="4">
        <f t="shared" si="3"/>
        <v>-2726069</v>
      </c>
      <c r="AN14" s="4">
        <f t="shared" si="4"/>
        <v>11907530</v>
      </c>
      <c r="AO14" s="6">
        <f t="shared" si="5"/>
        <v>-2905923</v>
      </c>
      <c r="AP14" s="4">
        <f t="shared" si="6"/>
        <v>-3234086</v>
      </c>
      <c r="AQ14" s="4">
        <f t="shared" si="7"/>
        <v>-23420740</v>
      </c>
      <c r="AR14" s="4">
        <f t="shared" si="8"/>
        <v>0</v>
      </c>
      <c r="AS14" s="4">
        <f t="shared" si="9"/>
        <v>-95842703</v>
      </c>
      <c r="AT14" s="4">
        <f t="shared" si="10"/>
        <v>-91567259</v>
      </c>
      <c r="AU14" s="4">
        <f t="shared" si="11"/>
        <v>0</v>
      </c>
    </row>
    <row r="15" spans="1:47" x14ac:dyDescent="0.25">
      <c r="A15" t="s">
        <v>171</v>
      </c>
      <c r="B15">
        <v>21520</v>
      </c>
      <c r="C15" s="4">
        <f>VLOOKUP(B15,'ER Contributions'!A:D,4,FALSE)</f>
        <v>111408063.44999999</v>
      </c>
      <c r="D15" s="5">
        <f>VLOOKUP(B15,'ER Contributions'!A:D,3,FALSE)</f>
        <v>3.4665899999999999E-2</v>
      </c>
      <c r="E15" s="6">
        <f>VLOOKUP(B15,'68 - Summary Exhibit'!A:N,3,FALSE)</f>
        <v>513633478</v>
      </c>
      <c r="F15" s="6">
        <f>VLOOKUP(B15,'68 - Summary Exhibit'!A:N,4,FALSE)</f>
        <v>46287296</v>
      </c>
      <c r="G15" s="6">
        <f>VLOOKUP(B15,'68 - Summary Exhibit'!A:N,5,FALSE)</f>
        <v>84695727</v>
      </c>
      <c r="H15" s="6">
        <f>VLOOKUP(B15,'68 - Summary Exhibit'!A:N,6,FALSE)</f>
        <v>0</v>
      </c>
      <c r="I15" s="4">
        <f>VLOOKUP(B15,'68 - Summary Exhibit'!A:N,7,FALSE)</f>
        <v>20415390</v>
      </c>
      <c r="J15" s="4">
        <f>VLOOKUP(B15,'68 - Summary Exhibit'!A:N,8,FALSE)</f>
        <v>1518366</v>
      </c>
      <c r="K15" s="4">
        <f>VLOOKUP(B15,'68 - Summary Exhibit'!A:N,9,FALSE)</f>
        <v>0</v>
      </c>
      <c r="L15" s="4">
        <f>VLOOKUP(B15,'68 - Summary Exhibit'!A:N,10,FALSE)</f>
        <v>0</v>
      </c>
      <c r="M15" s="4">
        <f>VLOOKUP(B15,'68 - Summary Exhibit'!A:N,11,FALSE)</f>
        <v>3234551</v>
      </c>
      <c r="N15" s="4">
        <f>VLOOKUP(B15,'68 - Summary Exhibit'!A:N,12,FALSE)</f>
        <v>141892590</v>
      </c>
      <c r="O15" s="4">
        <f>VLOOKUP(B15,'68 - Summary Exhibit'!A:N,13,FALSE)</f>
        <v>9820890</v>
      </c>
      <c r="P15" s="4">
        <f t="shared" si="0"/>
        <v>151713480</v>
      </c>
      <c r="Q15" s="4">
        <f>VLOOKUP(B15,'68- Deferred Amortization'!A:G,3,FALSE)</f>
        <v>45732428.910034508</v>
      </c>
      <c r="R15" s="4">
        <f>VLOOKUP(B15,'68- Deferred Amortization'!A:G,4,FALSE)</f>
        <v>112169535.35029808</v>
      </c>
      <c r="S15" s="4">
        <f>VLOOKUP(B15,'68- Deferred Amortization'!A:G,5,FALSE)</f>
        <v>-2190399.5573999998</v>
      </c>
      <c r="T15" s="4">
        <f>VLOOKUP(B15,'68- Deferred Amortization'!A:G,6,FALSE)</f>
        <v>-9066068.8292999994</v>
      </c>
      <c r="U15" s="4">
        <f>VLOOKUP(B15,'68- Deferred Amortization'!A:G,7,FALSE)</f>
        <v>0</v>
      </c>
      <c r="V15" s="4">
        <f t="shared" si="1"/>
        <v>4</v>
      </c>
      <c r="W15" s="4">
        <f t="shared" si="2"/>
        <v>0</v>
      </c>
      <c r="X15">
        <v>1</v>
      </c>
      <c r="AC15" s="6">
        <v>551510865</v>
      </c>
      <c r="AD15" s="6">
        <v>44961182</v>
      </c>
      <c r="AE15" s="6">
        <v>153595734</v>
      </c>
      <c r="AF15" s="6">
        <v>19368332</v>
      </c>
      <c r="AG15" s="4">
        <v>17442686</v>
      </c>
      <c r="AH15" s="4">
        <v>4070539</v>
      </c>
      <c r="AI15" s="4">
        <v>0</v>
      </c>
      <c r="AJ15" s="4">
        <v>0</v>
      </c>
      <c r="AK15" s="4">
        <v>6469099</v>
      </c>
      <c r="AM15" s="4">
        <f t="shared" si="3"/>
        <v>2972704</v>
      </c>
      <c r="AN15" s="4">
        <f t="shared" si="4"/>
        <v>-3234548</v>
      </c>
      <c r="AO15" s="6">
        <f t="shared" si="5"/>
        <v>1326114</v>
      </c>
      <c r="AP15" s="4">
        <f t="shared" si="6"/>
        <v>-2552173</v>
      </c>
      <c r="AQ15" s="4">
        <f t="shared" si="7"/>
        <v>-19368332</v>
      </c>
      <c r="AR15" s="4">
        <f t="shared" si="8"/>
        <v>0</v>
      </c>
      <c r="AS15" s="4">
        <f t="shared" si="9"/>
        <v>-37877387</v>
      </c>
      <c r="AT15" s="4">
        <f t="shared" si="10"/>
        <v>-68900007</v>
      </c>
      <c r="AU15" s="4">
        <f t="shared" si="11"/>
        <v>0</v>
      </c>
    </row>
    <row r="16" spans="1:47" x14ac:dyDescent="0.25">
      <c r="A16" t="s">
        <v>172</v>
      </c>
      <c r="B16">
        <v>23000</v>
      </c>
      <c r="C16" s="4">
        <f>VLOOKUP(B16,'ER Contributions'!A:D,4,FALSE)</f>
        <v>3936088.5899999994</v>
      </c>
      <c r="D16" s="5">
        <f>VLOOKUP(B16,'ER Contributions'!A:D,3,FALSE)</f>
        <v>1.2355999999999999E-3</v>
      </c>
      <c r="E16" s="6">
        <f>VLOOKUP(B16,'68 - Summary Exhibit'!A:N,3,FALSE)</f>
        <v>18307487</v>
      </c>
      <c r="F16" s="6">
        <f>VLOOKUP(B16,'68 - Summary Exhibit'!A:N,4,FALSE)</f>
        <v>1649823</v>
      </c>
      <c r="G16" s="6">
        <f>VLOOKUP(B16,'68 - Summary Exhibit'!A:N,5,FALSE)</f>
        <v>3018818</v>
      </c>
      <c r="H16" s="6">
        <f>VLOOKUP(B16,'68 - Summary Exhibit'!A:N,6,FALSE)</f>
        <v>0</v>
      </c>
      <c r="I16" s="4">
        <f>VLOOKUP(B16,'68 - Summary Exhibit'!A:N,7,FALSE)</f>
        <v>1144041</v>
      </c>
      <c r="J16" s="4">
        <f>VLOOKUP(B16,'68 - Summary Exhibit'!A:N,8,FALSE)</f>
        <v>54119</v>
      </c>
      <c r="K16" s="4">
        <f>VLOOKUP(B16,'68 - Summary Exhibit'!A:N,9,FALSE)</f>
        <v>0</v>
      </c>
      <c r="L16" s="4">
        <f>VLOOKUP(B16,'68 - Summary Exhibit'!A:N,10,FALSE)</f>
        <v>0</v>
      </c>
      <c r="M16" s="4">
        <f>VLOOKUP(B16,'68 - Summary Exhibit'!A:N,11,FALSE)</f>
        <v>147169</v>
      </c>
      <c r="N16" s="4">
        <f>VLOOKUP(B16,'68 - Summary Exhibit'!A:N,12,FALSE)</f>
        <v>5057491</v>
      </c>
      <c r="O16" s="4">
        <f>VLOOKUP(B16,'68 - Summary Exhibit'!A:N,13,FALSE)</f>
        <v>431967</v>
      </c>
      <c r="P16" s="4">
        <f t="shared" si="0"/>
        <v>5489458</v>
      </c>
      <c r="Q16" s="4">
        <f>VLOOKUP(B16,'68- Deferred Amortization'!A:G,3,FALSE)</f>
        <v>1806352.5486552669</v>
      </c>
      <c r="R16" s="4">
        <f>VLOOKUP(B16,'68- Deferred Amortization'!A:G,4,FALSE)</f>
        <v>4206256.1108964812</v>
      </c>
      <c r="S16" s="4">
        <f>VLOOKUP(B16,'68- Deferred Amortization'!A:G,5,FALSE)</f>
        <v>-78072.621599999999</v>
      </c>
      <c r="T16" s="4">
        <f>VLOOKUP(B16,'68- Deferred Amortization'!A:G,6,FALSE)</f>
        <v>-323142.76119999995</v>
      </c>
      <c r="U16" s="4">
        <f>VLOOKUP(B16,'68- Deferred Amortization'!A:G,7,FALSE)</f>
        <v>0</v>
      </c>
      <c r="V16" s="4">
        <f t="shared" si="1"/>
        <v>3</v>
      </c>
      <c r="W16" s="4">
        <f t="shared" si="2"/>
        <v>1</v>
      </c>
      <c r="X16">
        <v>1</v>
      </c>
      <c r="AC16" s="6">
        <v>18677623</v>
      </c>
      <c r="AD16" s="6">
        <v>1522668</v>
      </c>
      <c r="AE16" s="6">
        <v>5201716</v>
      </c>
      <c r="AF16" s="6">
        <v>655933</v>
      </c>
      <c r="AG16" s="4">
        <v>586771</v>
      </c>
      <c r="AH16" s="4">
        <v>137854</v>
      </c>
      <c r="AI16" s="4">
        <v>0</v>
      </c>
      <c r="AJ16" s="4">
        <v>0</v>
      </c>
      <c r="AK16" s="4">
        <v>294338</v>
      </c>
      <c r="AM16" s="4">
        <f t="shared" si="3"/>
        <v>557270</v>
      </c>
      <c r="AN16" s="4">
        <f t="shared" si="4"/>
        <v>-147169</v>
      </c>
      <c r="AO16" s="6">
        <f t="shared" si="5"/>
        <v>127155</v>
      </c>
      <c r="AP16" s="4">
        <f t="shared" si="6"/>
        <v>-83735</v>
      </c>
      <c r="AQ16" s="4">
        <f t="shared" si="7"/>
        <v>-655933</v>
      </c>
      <c r="AR16" s="4">
        <f t="shared" si="8"/>
        <v>0</v>
      </c>
      <c r="AS16" s="4">
        <f t="shared" si="9"/>
        <v>-370136</v>
      </c>
      <c r="AT16" s="4">
        <f t="shared" si="10"/>
        <v>-2182898</v>
      </c>
      <c r="AU16" s="4">
        <f t="shared" si="11"/>
        <v>0</v>
      </c>
    </row>
    <row r="17" spans="1:47" x14ac:dyDescent="0.25">
      <c r="A17" t="s">
        <v>173</v>
      </c>
      <c r="B17">
        <v>23100</v>
      </c>
      <c r="C17" s="4">
        <f>VLOOKUP(B17,'ER Contributions'!A:D,4,FALSE)</f>
        <v>25738774.080000002</v>
      </c>
      <c r="D17" s="5">
        <f>VLOOKUP(B17,'ER Contributions'!A:D,3,FALSE)</f>
        <v>7.7719E-3</v>
      </c>
      <c r="E17" s="6">
        <f>VLOOKUP(B17,'68 - Summary Exhibit'!A:N,3,FALSE)</f>
        <v>115153740</v>
      </c>
      <c r="F17" s="6">
        <f>VLOOKUP(B17,'68 - Summary Exhibit'!A:N,4,FALSE)</f>
        <v>10377352</v>
      </c>
      <c r="G17" s="6">
        <f>VLOOKUP(B17,'68 - Summary Exhibit'!A:N,5,FALSE)</f>
        <v>18988306</v>
      </c>
      <c r="H17" s="6">
        <f>VLOOKUP(B17,'68 - Summary Exhibit'!A:N,6,FALSE)</f>
        <v>0</v>
      </c>
      <c r="I17" s="4">
        <f>VLOOKUP(B17,'68 - Summary Exhibit'!A:N,7,FALSE)</f>
        <v>5245303</v>
      </c>
      <c r="J17" s="4">
        <f>VLOOKUP(B17,'68 - Summary Exhibit'!A:N,8,FALSE)</f>
        <v>340409</v>
      </c>
      <c r="K17" s="4">
        <f>VLOOKUP(B17,'68 - Summary Exhibit'!A:N,9,FALSE)</f>
        <v>0</v>
      </c>
      <c r="L17" s="4">
        <f>VLOOKUP(B17,'68 - Summary Exhibit'!A:N,10,FALSE)</f>
        <v>0</v>
      </c>
      <c r="M17" s="4">
        <f>VLOOKUP(B17,'68 - Summary Exhibit'!A:N,11,FALSE)</f>
        <v>890209</v>
      </c>
      <c r="N17" s="4">
        <f>VLOOKUP(B17,'68 - Summary Exhibit'!A:N,12,FALSE)</f>
        <v>31811521</v>
      </c>
      <c r="O17" s="4">
        <f>VLOOKUP(B17,'68 - Summary Exhibit'!A:N,13,FALSE)</f>
        <v>1835487</v>
      </c>
      <c r="P17" s="4">
        <f t="shared" si="0"/>
        <v>33647008</v>
      </c>
      <c r="Q17" s="4">
        <f>VLOOKUP(B17,'68- Deferred Amortization'!A:G,3,FALSE)</f>
        <v>10422055.966965051</v>
      </c>
      <c r="R17" s="4">
        <f>VLOOKUP(B17,'68- Deferred Amortization'!A:G,4,FALSE)</f>
        <v>25481923.30438127</v>
      </c>
      <c r="S17" s="4">
        <f>VLOOKUP(B17,'68- Deferred Amortization'!A:G,5,FALSE)</f>
        <v>-491075.27340000001</v>
      </c>
      <c r="T17" s="4">
        <f>VLOOKUP(B17,'68- Deferred Amortization'!A:G,6,FALSE)</f>
        <v>-2032561.6913000001</v>
      </c>
      <c r="U17" s="4">
        <f>VLOOKUP(B17,'68- Deferred Amortization'!A:G,7,FALSE)</f>
        <v>0</v>
      </c>
      <c r="V17" s="4">
        <f t="shared" si="1"/>
        <v>-2</v>
      </c>
      <c r="W17" s="4">
        <f t="shared" si="2"/>
        <v>1</v>
      </c>
      <c r="X17">
        <v>1</v>
      </c>
      <c r="AC17" s="6">
        <v>123601080</v>
      </c>
      <c r="AD17" s="6">
        <v>10076412</v>
      </c>
      <c r="AE17" s="6">
        <v>34422892</v>
      </c>
      <c r="AF17" s="6">
        <v>4340707</v>
      </c>
      <c r="AG17" s="4">
        <v>3588589</v>
      </c>
      <c r="AH17" s="4">
        <v>912263</v>
      </c>
      <c r="AI17" s="4">
        <v>0</v>
      </c>
      <c r="AJ17" s="4">
        <v>0</v>
      </c>
      <c r="AK17" s="4">
        <v>1780418</v>
      </c>
      <c r="AM17" s="4">
        <f t="shared" si="3"/>
        <v>1656714</v>
      </c>
      <c r="AN17" s="4">
        <f t="shared" si="4"/>
        <v>-890209</v>
      </c>
      <c r="AO17" s="6">
        <f t="shared" si="5"/>
        <v>300940</v>
      </c>
      <c r="AP17" s="4">
        <f t="shared" si="6"/>
        <v>-571854</v>
      </c>
      <c r="AQ17" s="4">
        <f t="shared" si="7"/>
        <v>-4340707</v>
      </c>
      <c r="AR17" s="4">
        <f t="shared" si="8"/>
        <v>0</v>
      </c>
      <c r="AS17" s="4">
        <f t="shared" si="9"/>
        <v>-8447340</v>
      </c>
      <c r="AT17" s="4">
        <f t="shared" si="10"/>
        <v>-15434586</v>
      </c>
      <c r="AU17" s="4">
        <f t="shared" si="11"/>
        <v>0</v>
      </c>
    </row>
    <row r="18" spans="1:47" x14ac:dyDescent="0.25">
      <c r="A18" t="s">
        <v>174</v>
      </c>
      <c r="B18">
        <v>20900</v>
      </c>
      <c r="C18" s="4">
        <f>VLOOKUP(B18,'ER Contributions'!A:D,4,FALSE)</f>
        <v>16531795.139999997</v>
      </c>
      <c r="D18" s="5">
        <f>VLOOKUP(B18,'ER Contributions'!A:D,3,FALSE)</f>
        <v>4.9015999999999999E-3</v>
      </c>
      <c r="E18" s="6">
        <f>VLOOKUP(B18,'68 - Summary Exhibit'!A:N,3,FALSE)</f>
        <v>72625429</v>
      </c>
      <c r="F18" s="6">
        <f>VLOOKUP(B18,'68 - Summary Exhibit'!A:N,4,FALSE)</f>
        <v>6544812</v>
      </c>
      <c r="G18" s="6">
        <f>VLOOKUP(B18,'68 - Summary Exhibit'!A:N,5,FALSE)</f>
        <v>11975589</v>
      </c>
      <c r="H18" s="6">
        <f>VLOOKUP(B18,'68 - Summary Exhibit'!A:N,6,FALSE)</f>
        <v>0</v>
      </c>
      <c r="I18" s="4">
        <f>VLOOKUP(B18,'68 - Summary Exhibit'!A:N,7,FALSE)</f>
        <v>0</v>
      </c>
      <c r="J18" s="4">
        <f>VLOOKUP(B18,'68 - Summary Exhibit'!A:N,8,FALSE)</f>
        <v>214690</v>
      </c>
      <c r="K18" s="4">
        <f>VLOOKUP(B18,'68 - Summary Exhibit'!A:N,9,FALSE)</f>
        <v>0</v>
      </c>
      <c r="L18" s="4">
        <f>VLOOKUP(B18,'68 - Summary Exhibit'!A:N,10,FALSE)</f>
        <v>0</v>
      </c>
      <c r="M18" s="4">
        <f>VLOOKUP(B18,'68 - Summary Exhibit'!A:N,11,FALSE)</f>
        <v>1374410</v>
      </c>
      <c r="N18" s="4">
        <f>VLOOKUP(B18,'68 - Summary Exhibit'!A:N,12,FALSE)</f>
        <v>20062964</v>
      </c>
      <c r="O18" s="4">
        <f>VLOOKUP(B18,'68 - Summary Exhibit'!A:N,13,FALSE)</f>
        <v>-450516</v>
      </c>
      <c r="P18" s="4">
        <f t="shared" si="0"/>
        <v>19612448</v>
      </c>
      <c r="Q18" s="4">
        <f>VLOOKUP(B18,'68- Deferred Amortization'!A:G,3,FALSE)</f>
        <v>4648826.3597705644</v>
      </c>
      <c r="R18" s="4">
        <f>VLOOKUP(B18,'68- Deferred Amortization'!A:G,4,FALSE)</f>
        <v>13874087.87397136</v>
      </c>
      <c r="S18" s="4">
        <f>VLOOKUP(B18,'68- Deferred Amortization'!A:G,5,FALSE)</f>
        <v>-309712.4976</v>
      </c>
      <c r="T18" s="4">
        <f>VLOOKUP(B18,'68- Deferred Amortization'!A:G,6,FALSE)</f>
        <v>-1281900.7431999999</v>
      </c>
      <c r="U18" s="4">
        <f>VLOOKUP(B18,'68- Deferred Amortization'!A:G,7,FALSE)</f>
        <v>0</v>
      </c>
      <c r="V18" s="4">
        <f t="shared" si="1"/>
        <v>1</v>
      </c>
      <c r="W18" s="4">
        <f t="shared" si="2"/>
        <v>0</v>
      </c>
      <c r="X18">
        <v>1</v>
      </c>
      <c r="AC18" s="6">
        <v>84491943</v>
      </c>
      <c r="AD18" s="6">
        <v>6888092</v>
      </c>
      <c r="AE18" s="6">
        <v>23531000</v>
      </c>
      <c r="AF18" s="6">
        <v>2967245</v>
      </c>
      <c r="AG18" s="4">
        <v>381043</v>
      </c>
      <c r="AH18" s="4">
        <v>623610</v>
      </c>
      <c r="AI18" s="4">
        <v>0</v>
      </c>
      <c r="AJ18" s="4">
        <v>0</v>
      </c>
      <c r="AK18" s="4">
        <v>1265303</v>
      </c>
      <c r="AM18" s="4">
        <f t="shared" si="3"/>
        <v>-381043</v>
      </c>
      <c r="AN18" s="4">
        <f t="shared" si="4"/>
        <v>109107</v>
      </c>
      <c r="AO18" s="6">
        <f t="shared" si="5"/>
        <v>-343280</v>
      </c>
      <c r="AP18" s="4">
        <f t="shared" si="6"/>
        <v>-408920</v>
      </c>
      <c r="AQ18" s="4">
        <f t="shared" si="7"/>
        <v>-2967245</v>
      </c>
      <c r="AR18" s="4">
        <f t="shared" si="8"/>
        <v>0</v>
      </c>
      <c r="AS18" s="4">
        <f t="shared" si="9"/>
        <v>-11866514</v>
      </c>
      <c r="AT18" s="4">
        <f t="shared" si="10"/>
        <v>-11555411</v>
      </c>
      <c r="AU18" s="4">
        <f t="shared" si="11"/>
        <v>0</v>
      </c>
    </row>
    <row r="19" spans="1:47" x14ac:dyDescent="0.25">
      <c r="A19" t="s">
        <v>175</v>
      </c>
      <c r="B19">
        <v>23200</v>
      </c>
      <c r="C19" s="4">
        <f>VLOOKUP(B19,'ER Contributions'!A:D,4,FALSE)</f>
        <v>15685778.969999999</v>
      </c>
      <c r="D19" s="5">
        <f>VLOOKUP(B19,'ER Contributions'!A:D,3,FALSE)</f>
        <v>4.8526999999999997E-3</v>
      </c>
      <c r="E19" s="6">
        <f>VLOOKUP(B19,'68 - Summary Exhibit'!A:N,3,FALSE)</f>
        <v>71900893</v>
      </c>
      <c r="F19" s="6">
        <f>VLOOKUP(B19,'68 - Summary Exhibit'!A:N,4,FALSE)</f>
        <v>6479519</v>
      </c>
      <c r="G19" s="6">
        <f>VLOOKUP(B19,'68 - Summary Exhibit'!A:N,5,FALSE)</f>
        <v>11856117</v>
      </c>
      <c r="H19" s="6">
        <f>VLOOKUP(B19,'68 - Summary Exhibit'!A:N,6,FALSE)</f>
        <v>0</v>
      </c>
      <c r="I19" s="4">
        <f>VLOOKUP(B19,'68 - Summary Exhibit'!A:N,7,FALSE)</f>
        <v>2922433</v>
      </c>
      <c r="J19" s="4">
        <f>VLOOKUP(B19,'68 - Summary Exhibit'!A:N,8,FALSE)</f>
        <v>212548</v>
      </c>
      <c r="K19" s="4">
        <f>VLOOKUP(B19,'68 - Summary Exhibit'!A:N,9,FALSE)</f>
        <v>0</v>
      </c>
      <c r="L19" s="4">
        <f>VLOOKUP(B19,'68 - Summary Exhibit'!A:N,10,FALSE)</f>
        <v>0</v>
      </c>
      <c r="M19" s="4">
        <f>VLOOKUP(B19,'68 - Summary Exhibit'!A:N,11,FALSE)</f>
        <v>0</v>
      </c>
      <c r="N19" s="4">
        <f>VLOOKUP(B19,'68 - Summary Exhibit'!A:N,12,FALSE)</f>
        <v>19862810</v>
      </c>
      <c r="O19" s="4">
        <f>VLOOKUP(B19,'68 - Summary Exhibit'!A:N,13,FALSE)</f>
        <v>2104284</v>
      </c>
      <c r="P19" s="4">
        <f t="shared" si="0"/>
        <v>21967094</v>
      </c>
      <c r="Q19" s="4">
        <f>VLOOKUP(B19,'68- Deferred Amortization'!A:G,3,FALSE)</f>
        <v>6955578.4698446728</v>
      </c>
      <c r="R19" s="4">
        <f>VLOOKUP(B19,'68- Deferred Amortization'!A:G,4,FALSE)</f>
        <v>15665677.057851505</v>
      </c>
      <c r="S19" s="4">
        <f>VLOOKUP(B19,'68- Deferred Amortization'!A:G,5,FALSE)</f>
        <v>-306622.7022</v>
      </c>
      <c r="T19" s="4">
        <f>VLOOKUP(B19,'68- Deferred Amortization'!A:G,6,FALSE)</f>
        <v>-1269112.0729</v>
      </c>
      <c r="U19" s="4">
        <f>VLOOKUP(B19,'68- Deferred Amortization'!A:G,7,FALSE)</f>
        <v>0</v>
      </c>
      <c r="V19" s="4">
        <f t="shared" si="1"/>
        <v>1</v>
      </c>
      <c r="W19" s="4">
        <f t="shared" si="2"/>
        <v>0</v>
      </c>
      <c r="X19">
        <v>1</v>
      </c>
      <c r="AC19" s="6">
        <v>76005903</v>
      </c>
      <c r="AD19" s="6">
        <v>6196279</v>
      </c>
      <c r="AE19" s="6">
        <v>21167638</v>
      </c>
      <c r="AF19" s="6">
        <v>2669227</v>
      </c>
      <c r="AG19" s="4">
        <v>1959678</v>
      </c>
      <c r="AH19" s="4">
        <v>560977</v>
      </c>
      <c r="AI19" s="4">
        <v>0</v>
      </c>
      <c r="AJ19" s="4">
        <v>0</v>
      </c>
      <c r="AK19" s="4">
        <v>0</v>
      </c>
      <c r="AM19" s="4">
        <f t="shared" si="3"/>
        <v>962755</v>
      </c>
      <c r="AN19" s="4">
        <f t="shared" si="4"/>
        <v>0</v>
      </c>
      <c r="AO19" s="6">
        <f t="shared" si="5"/>
        <v>283240</v>
      </c>
      <c r="AP19" s="4">
        <f t="shared" si="6"/>
        <v>-348429</v>
      </c>
      <c r="AQ19" s="4">
        <f t="shared" si="7"/>
        <v>-2669227</v>
      </c>
      <c r="AR19" s="4">
        <f t="shared" si="8"/>
        <v>0</v>
      </c>
      <c r="AS19" s="4">
        <f t="shared" si="9"/>
        <v>-4105010</v>
      </c>
      <c r="AT19" s="4">
        <f t="shared" si="10"/>
        <v>-9311521</v>
      </c>
      <c r="AU19" s="4">
        <f t="shared" si="11"/>
        <v>0</v>
      </c>
    </row>
    <row r="20" spans="1:47" x14ac:dyDescent="0.25">
      <c r="A20" t="s">
        <v>176</v>
      </c>
      <c r="B20">
        <v>21800</v>
      </c>
      <c r="C20" s="4">
        <f>VLOOKUP(B20,'ER Contributions'!A:D,4,FALSE)</f>
        <v>11790336.390000001</v>
      </c>
      <c r="D20" s="5">
        <f>VLOOKUP(B20,'ER Contributions'!A:D,3,FALSE)</f>
        <v>3.6857999999999999E-3</v>
      </c>
      <c r="E20" s="6">
        <f>VLOOKUP(B20,'68 - Summary Exhibit'!A:N,3,FALSE)</f>
        <v>54611312</v>
      </c>
      <c r="F20" s="6">
        <f>VLOOKUP(B20,'68 - Summary Exhibit'!A:N,4,FALSE)</f>
        <v>4921428</v>
      </c>
      <c r="G20" s="6">
        <f>VLOOKUP(B20,'68 - Summary Exhibit'!A:N,5,FALSE)</f>
        <v>9005147</v>
      </c>
      <c r="H20" s="6">
        <f>VLOOKUP(B20,'68 - Summary Exhibit'!A:N,6,FALSE)</f>
        <v>0</v>
      </c>
      <c r="I20" s="4">
        <f>VLOOKUP(B20,'68 - Summary Exhibit'!A:N,7,FALSE)</f>
        <v>1676800</v>
      </c>
      <c r="J20" s="4">
        <f>VLOOKUP(B20,'68 - Summary Exhibit'!A:N,8,FALSE)</f>
        <v>161438</v>
      </c>
      <c r="K20" s="4">
        <f>VLOOKUP(B20,'68 - Summary Exhibit'!A:N,9,FALSE)</f>
        <v>0</v>
      </c>
      <c r="L20" s="4">
        <f>VLOOKUP(B20,'68 - Summary Exhibit'!A:N,10,FALSE)</f>
        <v>0</v>
      </c>
      <c r="M20" s="4">
        <f>VLOOKUP(B20,'68 - Summary Exhibit'!A:N,11,FALSE)</f>
        <v>58202</v>
      </c>
      <c r="N20" s="4">
        <f>VLOOKUP(B20,'68 - Summary Exhibit'!A:N,12,FALSE)</f>
        <v>15086518</v>
      </c>
      <c r="O20" s="4">
        <f>VLOOKUP(B20,'68 - Summary Exhibit'!A:N,13,FALSE)</f>
        <v>980991</v>
      </c>
      <c r="P20" s="4">
        <f t="shared" si="0"/>
        <v>16067509</v>
      </c>
      <c r="Q20" s="4">
        <f>VLOOKUP(B20,'68- Deferred Amortization'!A:G,3,FALSE)</f>
        <v>4901221.487752323</v>
      </c>
      <c r="R20" s="4">
        <f>VLOOKUP(B20,'68- Deferred Amortization'!A:G,4,FALSE)</f>
        <v>11679340.524863059</v>
      </c>
      <c r="S20" s="4">
        <f>VLOOKUP(B20,'68- Deferred Amortization'!A:G,5,FALSE)</f>
        <v>-232890.95879999999</v>
      </c>
      <c r="T20" s="4">
        <f>VLOOKUP(B20,'68- Deferred Amortization'!A:G,6,FALSE)</f>
        <v>-963936.21659999993</v>
      </c>
      <c r="U20" s="4">
        <f>VLOOKUP(B20,'68- Deferred Amortization'!A:G,7,FALSE)</f>
        <v>0</v>
      </c>
      <c r="V20" s="4">
        <f t="shared" si="1"/>
        <v>1</v>
      </c>
      <c r="W20" s="4">
        <f t="shared" si="2"/>
        <v>0</v>
      </c>
      <c r="X20">
        <v>1</v>
      </c>
      <c r="AC20" s="6">
        <v>59533984</v>
      </c>
      <c r="AD20" s="6">
        <v>4853428</v>
      </c>
      <c r="AE20" s="6">
        <v>16580210</v>
      </c>
      <c r="AF20" s="6">
        <v>2090755</v>
      </c>
      <c r="AG20" s="4">
        <v>1614992</v>
      </c>
      <c r="AH20" s="4">
        <v>439403</v>
      </c>
      <c r="AI20" s="4">
        <v>0</v>
      </c>
      <c r="AJ20" s="4">
        <v>0</v>
      </c>
      <c r="AK20" s="4">
        <v>116403</v>
      </c>
      <c r="AM20" s="4">
        <f t="shared" si="3"/>
        <v>61808</v>
      </c>
      <c r="AN20" s="4">
        <f t="shared" si="4"/>
        <v>-58201</v>
      </c>
      <c r="AO20" s="6">
        <f t="shared" si="5"/>
        <v>68000</v>
      </c>
      <c r="AP20" s="4">
        <f t="shared" si="6"/>
        <v>-277965</v>
      </c>
      <c r="AQ20" s="4">
        <f t="shared" si="7"/>
        <v>-2090755</v>
      </c>
      <c r="AR20" s="4">
        <f t="shared" si="8"/>
        <v>0</v>
      </c>
      <c r="AS20" s="4">
        <f t="shared" si="9"/>
        <v>-4922672</v>
      </c>
      <c r="AT20" s="4">
        <f t="shared" si="10"/>
        <v>-7575063</v>
      </c>
      <c r="AU20" s="4">
        <f t="shared" si="11"/>
        <v>0</v>
      </c>
    </row>
    <row r="21" spans="1:47" x14ac:dyDescent="0.25">
      <c r="A21" t="s">
        <v>177</v>
      </c>
      <c r="B21">
        <v>21900</v>
      </c>
      <c r="C21" s="4">
        <f>VLOOKUP(B21,'ER Contributions'!A:D,4,FALSE)</f>
        <v>6379772.4200000018</v>
      </c>
      <c r="D21" s="5">
        <f>VLOOKUP(B21,'ER Contributions'!A:D,3,FALSE)</f>
        <v>1.6936E-3</v>
      </c>
      <c r="E21" s="6">
        <f>VLOOKUP(B21,'68 - Summary Exhibit'!A:N,3,FALSE)</f>
        <v>25093526</v>
      </c>
      <c r="F21" s="6">
        <f>VLOOKUP(B21,'68 - Summary Exhibit'!A:N,4,FALSE)</f>
        <v>2261362</v>
      </c>
      <c r="G21" s="6">
        <f>VLOOKUP(B21,'68 - Summary Exhibit'!A:N,5,FALSE)</f>
        <v>4137804</v>
      </c>
      <c r="H21" s="6">
        <f>VLOOKUP(B21,'68 - Summary Exhibit'!A:N,6,FALSE)</f>
        <v>0</v>
      </c>
      <c r="I21" s="4">
        <f>VLOOKUP(B21,'68 - Summary Exhibit'!A:N,7,FALSE)</f>
        <v>794162</v>
      </c>
      <c r="J21" s="4">
        <f>VLOOKUP(B21,'68 - Summary Exhibit'!A:N,8,FALSE)</f>
        <v>74180</v>
      </c>
      <c r="K21" s="4">
        <f>VLOOKUP(B21,'68 - Summary Exhibit'!A:N,9,FALSE)</f>
        <v>0</v>
      </c>
      <c r="L21" s="4">
        <f>VLOOKUP(B21,'68 - Summary Exhibit'!A:N,10,FALSE)</f>
        <v>0</v>
      </c>
      <c r="M21" s="4">
        <f>VLOOKUP(B21,'68 - Summary Exhibit'!A:N,11,FALSE)</f>
        <v>199036</v>
      </c>
      <c r="N21" s="4">
        <f>VLOOKUP(B21,'68 - Summary Exhibit'!A:N,12,FALSE)</f>
        <v>6932152</v>
      </c>
      <c r="O21" s="4">
        <f>VLOOKUP(B21,'68 - Summary Exhibit'!A:N,13,FALSE)</f>
        <v>211098</v>
      </c>
      <c r="P21" s="4">
        <f t="shared" si="0"/>
        <v>7143250</v>
      </c>
      <c r="Q21" s="4">
        <f>VLOOKUP(B21,'68- Deferred Amortization'!A:G,3,FALSE)</f>
        <v>2091627.3741343685</v>
      </c>
      <c r="R21" s="4">
        <f>VLOOKUP(B21,'68- Deferred Amortization'!A:G,4,FALSE)</f>
        <v>5378419.1855306383</v>
      </c>
      <c r="S21" s="4">
        <f>VLOOKUP(B21,'68- Deferred Amortization'!A:G,5,FALSE)</f>
        <v>-107011.80959999999</v>
      </c>
      <c r="T21" s="4">
        <f>VLOOKUP(B21,'68- Deferred Amortization'!A:G,6,FALSE)</f>
        <v>-442922.12719999999</v>
      </c>
      <c r="U21" s="4">
        <f>VLOOKUP(B21,'68- Deferred Amortization'!A:G,7,FALSE)</f>
        <v>0</v>
      </c>
      <c r="V21" s="4">
        <f t="shared" si="1"/>
        <v>-1</v>
      </c>
      <c r="W21" s="4">
        <f t="shared" si="2"/>
        <v>-1</v>
      </c>
      <c r="X21">
        <v>1</v>
      </c>
      <c r="AC21" s="6">
        <v>29301010</v>
      </c>
      <c r="AD21" s="6">
        <v>2388725</v>
      </c>
      <c r="AE21" s="6">
        <v>8160329</v>
      </c>
      <c r="AF21" s="6">
        <v>1029013</v>
      </c>
      <c r="AG21" s="4">
        <v>927341</v>
      </c>
      <c r="AH21" s="4">
        <v>216262</v>
      </c>
      <c r="AI21" s="4">
        <v>0</v>
      </c>
      <c r="AJ21" s="4">
        <v>0</v>
      </c>
      <c r="AK21" s="4">
        <v>398071</v>
      </c>
      <c r="AM21" s="4">
        <f t="shared" si="3"/>
        <v>-133179</v>
      </c>
      <c r="AN21" s="4">
        <f t="shared" si="4"/>
        <v>-199035</v>
      </c>
      <c r="AO21" s="6">
        <f t="shared" si="5"/>
        <v>-127363</v>
      </c>
      <c r="AP21" s="4">
        <f t="shared" si="6"/>
        <v>-142082</v>
      </c>
      <c r="AQ21" s="4">
        <f t="shared" si="7"/>
        <v>-1029013</v>
      </c>
      <c r="AR21" s="4">
        <f t="shared" si="8"/>
        <v>0</v>
      </c>
      <c r="AS21" s="4">
        <f t="shared" si="9"/>
        <v>-4207484</v>
      </c>
      <c r="AT21" s="4">
        <f t="shared" si="10"/>
        <v>-4022525</v>
      </c>
      <c r="AU21" s="4">
        <f t="shared" si="11"/>
        <v>0</v>
      </c>
    </row>
    <row r="22" spans="1:47" x14ac:dyDescent="0.25">
      <c r="A22" t="s">
        <v>178</v>
      </c>
      <c r="B22">
        <v>30105</v>
      </c>
      <c r="C22" s="4">
        <f>VLOOKUP(B22,'ER Contributions'!A:D,4,FALSE)</f>
        <v>2953357.3600000017</v>
      </c>
      <c r="D22" s="5">
        <f>VLOOKUP(B22,'ER Contributions'!A:D,3,FALSE)</f>
        <v>8.2669999999999998E-4</v>
      </c>
      <c r="E22" s="6">
        <f>VLOOKUP(B22,'68 - Summary Exhibit'!A:N,3,FALSE)</f>
        <v>12248948</v>
      </c>
      <c r="F22" s="6">
        <f>VLOOKUP(B22,'68 - Summary Exhibit'!A:N,4,FALSE)</f>
        <v>1103843</v>
      </c>
      <c r="G22" s="6">
        <f>VLOOKUP(B22,'68 - Summary Exhibit'!A:N,5,FALSE)</f>
        <v>2019793</v>
      </c>
      <c r="H22" s="6">
        <f>VLOOKUP(B22,'68 - Summary Exhibit'!A:N,6,FALSE)</f>
        <v>0</v>
      </c>
      <c r="I22" s="4">
        <f>VLOOKUP(B22,'68 - Summary Exhibit'!A:N,7,FALSE)</f>
        <v>372992</v>
      </c>
      <c r="J22" s="4">
        <f>VLOOKUP(B22,'68 - Summary Exhibit'!A:N,8,FALSE)</f>
        <v>36209</v>
      </c>
      <c r="K22" s="4">
        <f>VLOOKUP(B22,'68 - Summary Exhibit'!A:N,9,FALSE)</f>
        <v>0</v>
      </c>
      <c r="L22" s="4">
        <f>VLOOKUP(B22,'68 - Summary Exhibit'!A:N,10,FALSE)</f>
        <v>0</v>
      </c>
      <c r="M22" s="4">
        <f>VLOOKUP(B22,'68 - Summary Exhibit'!A:N,11,FALSE)</f>
        <v>10257</v>
      </c>
      <c r="N22" s="4">
        <f>VLOOKUP(B22,'68 - Summary Exhibit'!A:N,12,FALSE)</f>
        <v>3383804</v>
      </c>
      <c r="O22" s="4">
        <f>VLOOKUP(B22,'68 - Summary Exhibit'!A:N,13,FALSE)</f>
        <v>168899</v>
      </c>
      <c r="P22" s="4">
        <f t="shared" si="0"/>
        <v>3552703</v>
      </c>
      <c r="Q22" s="4">
        <f>VLOOKUP(B22,'68- Deferred Amortization'!A:G,3,FALSE)</f>
        <v>1122463.4547050819</v>
      </c>
      <c r="R22" s="4">
        <f>VLOOKUP(B22,'68- Deferred Amortization'!A:G,4,FALSE)</f>
        <v>2596138.0715590292</v>
      </c>
      <c r="S22" s="4">
        <f>VLOOKUP(B22,'68- Deferred Amortization'!A:G,5,FALSE)</f>
        <v>-52235.866199999997</v>
      </c>
      <c r="T22" s="4">
        <f>VLOOKUP(B22,'68- Deferred Amortization'!A:G,6,FALSE)</f>
        <v>-216204.37090000001</v>
      </c>
      <c r="U22" s="4">
        <f>VLOOKUP(B22,'68- Deferred Amortization'!A:G,7,FALSE)</f>
        <v>0</v>
      </c>
      <c r="V22" s="4">
        <f t="shared" si="1"/>
        <v>1</v>
      </c>
      <c r="W22" s="4">
        <f t="shared" si="2"/>
        <v>1</v>
      </c>
      <c r="X22">
        <v>2</v>
      </c>
      <c r="AC22" s="6">
        <v>13429282</v>
      </c>
      <c r="AD22" s="6">
        <v>1094804</v>
      </c>
      <c r="AE22" s="6">
        <v>3740054</v>
      </c>
      <c r="AF22" s="6">
        <v>471619</v>
      </c>
      <c r="AG22" s="4">
        <v>67115</v>
      </c>
      <c r="AH22" s="4">
        <v>99118</v>
      </c>
      <c r="AI22" s="4">
        <v>0</v>
      </c>
      <c r="AJ22" s="4">
        <v>0</v>
      </c>
      <c r="AK22" s="4">
        <v>44633</v>
      </c>
      <c r="AM22" s="4">
        <f t="shared" si="3"/>
        <v>305877</v>
      </c>
      <c r="AN22" s="4">
        <f t="shared" si="4"/>
        <v>-34376</v>
      </c>
      <c r="AO22" s="6">
        <f t="shared" si="5"/>
        <v>9039</v>
      </c>
      <c r="AP22" s="4">
        <f t="shared" si="6"/>
        <v>-62909</v>
      </c>
      <c r="AQ22" s="4">
        <f t="shared" si="7"/>
        <v>-471619</v>
      </c>
      <c r="AR22" s="4">
        <f t="shared" si="8"/>
        <v>0</v>
      </c>
      <c r="AS22" s="4">
        <f t="shared" si="9"/>
        <v>-1180334</v>
      </c>
      <c r="AT22" s="4">
        <f t="shared" si="10"/>
        <v>-1720261</v>
      </c>
      <c r="AU22" s="4">
        <f t="shared" si="11"/>
        <v>0</v>
      </c>
    </row>
    <row r="23" spans="1:47" x14ac:dyDescent="0.25">
      <c r="A23" t="s">
        <v>179</v>
      </c>
      <c r="B23">
        <v>31105</v>
      </c>
      <c r="C23" s="4">
        <f>VLOOKUP(B23,'ER Contributions'!A:D,4,FALSE)</f>
        <v>4975348.03</v>
      </c>
      <c r="D23" s="5">
        <f>VLOOKUP(B23,'ER Contributions'!A:D,3,FALSE)</f>
        <v>1.5560000000000001E-3</v>
      </c>
      <c r="E23" s="6">
        <f>VLOOKUP(B23,'68 - Summary Exhibit'!A:N,3,FALSE)</f>
        <v>23054751</v>
      </c>
      <c r="F23" s="6">
        <f>VLOOKUP(B23,'68 - Summary Exhibit'!A:N,4,FALSE)</f>
        <v>2077633</v>
      </c>
      <c r="G23" s="6">
        <f>VLOOKUP(B23,'68 - Summary Exhibit'!A:N,5,FALSE)</f>
        <v>3801619</v>
      </c>
      <c r="H23" s="6">
        <f>VLOOKUP(B23,'68 - Summary Exhibit'!A:N,6,FALSE)</f>
        <v>0</v>
      </c>
      <c r="I23" s="4">
        <f>VLOOKUP(B23,'68 - Summary Exhibit'!A:N,7,FALSE)</f>
        <v>446318</v>
      </c>
      <c r="J23" s="4">
        <f>VLOOKUP(B23,'68 - Summary Exhibit'!A:N,8,FALSE)</f>
        <v>68153</v>
      </c>
      <c r="K23" s="4">
        <f>VLOOKUP(B23,'68 - Summary Exhibit'!A:N,9,FALSE)</f>
        <v>0</v>
      </c>
      <c r="L23" s="4">
        <f>VLOOKUP(B23,'68 - Summary Exhibit'!A:N,10,FALSE)</f>
        <v>0</v>
      </c>
      <c r="M23" s="4">
        <f>VLOOKUP(B23,'68 - Summary Exhibit'!A:N,11,FALSE)</f>
        <v>38688</v>
      </c>
      <c r="N23" s="4">
        <f>VLOOKUP(B23,'68 - Summary Exhibit'!A:N,12,FALSE)</f>
        <v>6368935</v>
      </c>
      <c r="O23" s="4">
        <f>VLOOKUP(B23,'68 - Summary Exhibit'!A:N,13,FALSE)</f>
        <v>259781</v>
      </c>
      <c r="P23" s="4">
        <f t="shared" si="0"/>
        <v>6628716</v>
      </c>
      <c r="Q23" s="4">
        <f>VLOOKUP(B23,'68- Deferred Amortization'!A:G,3,FALSE)</f>
        <v>1924204.6520873313</v>
      </c>
      <c r="R23" s="4">
        <f>VLOOKUP(B23,'68- Deferred Amortization'!A:G,4,FALSE)</f>
        <v>4799778.3137845201</v>
      </c>
      <c r="S23" s="4">
        <f>VLOOKUP(B23,'68- Deferred Amortization'!A:G,5,FALSE)</f>
        <v>-98317.416000000012</v>
      </c>
      <c r="T23" s="4">
        <f>VLOOKUP(B23,'68- Deferred Amortization'!A:G,6,FALSE)</f>
        <v>-406936.01200000005</v>
      </c>
      <c r="U23" s="4">
        <f>VLOOKUP(B23,'68- Deferred Amortization'!A:G,7,FALSE)</f>
        <v>0</v>
      </c>
      <c r="V23" s="4">
        <f t="shared" si="1"/>
        <v>0</v>
      </c>
      <c r="W23" s="4">
        <f t="shared" si="2"/>
        <v>-1</v>
      </c>
      <c r="X23">
        <v>2</v>
      </c>
      <c r="AC23" s="6">
        <v>25081331</v>
      </c>
      <c r="AD23" s="6">
        <v>2044722</v>
      </c>
      <c r="AE23" s="6">
        <v>6985149</v>
      </c>
      <c r="AF23" s="6">
        <v>880823</v>
      </c>
      <c r="AG23" s="4">
        <v>250478</v>
      </c>
      <c r="AH23" s="4">
        <v>185118</v>
      </c>
      <c r="AI23" s="4">
        <v>0</v>
      </c>
      <c r="AJ23" s="4">
        <v>0</v>
      </c>
      <c r="AK23" s="4">
        <v>77377</v>
      </c>
      <c r="AM23" s="4">
        <f t="shared" si="3"/>
        <v>195840</v>
      </c>
      <c r="AN23" s="4">
        <f t="shared" si="4"/>
        <v>-38689</v>
      </c>
      <c r="AO23" s="6">
        <f t="shared" si="5"/>
        <v>32911</v>
      </c>
      <c r="AP23" s="4">
        <f t="shared" si="6"/>
        <v>-116965</v>
      </c>
      <c r="AQ23" s="4">
        <f t="shared" si="7"/>
        <v>-880823</v>
      </c>
      <c r="AR23" s="4">
        <f t="shared" si="8"/>
        <v>0</v>
      </c>
      <c r="AS23" s="4">
        <f t="shared" si="9"/>
        <v>-2026580</v>
      </c>
      <c r="AT23" s="4">
        <f t="shared" si="10"/>
        <v>-3183530</v>
      </c>
      <c r="AU23" s="4">
        <f t="shared" si="11"/>
        <v>0</v>
      </c>
    </row>
    <row r="24" spans="1:47" x14ac:dyDescent="0.25">
      <c r="A24" t="s">
        <v>180</v>
      </c>
      <c r="B24">
        <v>30705</v>
      </c>
      <c r="C24" s="4">
        <f>VLOOKUP(B24,'ER Contributions'!A:D,4,FALSE)</f>
        <v>1772697.41</v>
      </c>
      <c r="D24" s="5">
        <f>VLOOKUP(B24,'ER Contributions'!A:D,3,FALSE)</f>
        <v>5.3499999999999999E-4</v>
      </c>
      <c r="E24" s="6">
        <f>VLOOKUP(B24,'68 - Summary Exhibit'!A:N,3,FALSE)</f>
        <v>7926923</v>
      </c>
      <c r="F24" s="6">
        <f>VLOOKUP(B24,'68 - Summary Exhibit'!A:N,4,FALSE)</f>
        <v>714353</v>
      </c>
      <c r="G24" s="6">
        <f>VLOOKUP(B24,'68 - Summary Exhibit'!A:N,5,FALSE)</f>
        <v>1307112</v>
      </c>
      <c r="H24" s="6">
        <f>VLOOKUP(B24,'68 - Summary Exhibit'!A:N,6,FALSE)</f>
        <v>0</v>
      </c>
      <c r="I24" s="4">
        <f>VLOOKUP(B24,'68 - Summary Exhibit'!A:N,7,FALSE)</f>
        <v>267660</v>
      </c>
      <c r="J24" s="4">
        <f>VLOOKUP(B24,'68 - Summary Exhibit'!A:N,8,FALSE)</f>
        <v>23433</v>
      </c>
      <c r="K24" s="4">
        <f>VLOOKUP(B24,'68 - Summary Exhibit'!A:N,9,FALSE)</f>
        <v>0</v>
      </c>
      <c r="L24" s="4">
        <f>VLOOKUP(B24,'68 - Summary Exhibit'!A:N,10,FALSE)</f>
        <v>0</v>
      </c>
      <c r="M24" s="4">
        <f>VLOOKUP(B24,'68 - Summary Exhibit'!A:N,11,FALSE)</f>
        <v>10718</v>
      </c>
      <c r="N24" s="4">
        <f>VLOOKUP(B24,'68 - Summary Exhibit'!A:N,12,FALSE)</f>
        <v>2189833</v>
      </c>
      <c r="O24" s="4">
        <f>VLOOKUP(B24,'68 - Summary Exhibit'!A:N,13,FALSE)</f>
        <v>141265</v>
      </c>
      <c r="P24" s="4">
        <f t="shared" si="0"/>
        <v>2331098</v>
      </c>
      <c r="Q24" s="4">
        <f>VLOOKUP(B24,'68- Deferred Amortization'!A:G,3,FALSE)</f>
        <v>721285.93991127179</v>
      </c>
      <c r="R24" s="4">
        <f>VLOOKUP(B24,'68- Deferred Amortization'!A:G,4,FALSE)</f>
        <v>1707410.6419714233</v>
      </c>
      <c r="S24" s="4">
        <f>VLOOKUP(B24,'68- Deferred Amortization'!A:G,5,FALSE)</f>
        <v>-33804.51</v>
      </c>
      <c r="T24" s="4">
        <f>VLOOKUP(B24,'68- Deferred Amortization'!A:G,6,FALSE)</f>
        <v>-139916.94500000001</v>
      </c>
      <c r="U24" s="4">
        <f>VLOOKUP(B24,'68- Deferred Amortization'!A:G,7,FALSE)</f>
        <v>0</v>
      </c>
      <c r="V24" s="4">
        <f t="shared" si="1"/>
        <v>0</v>
      </c>
      <c r="W24" s="4">
        <f t="shared" si="2"/>
        <v>-1</v>
      </c>
      <c r="X24">
        <v>2</v>
      </c>
      <c r="AC24" s="6">
        <v>8656094</v>
      </c>
      <c r="AD24" s="6">
        <v>705676</v>
      </c>
      <c r="AE24" s="6">
        <v>2410721</v>
      </c>
      <c r="AF24" s="6">
        <v>303991</v>
      </c>
      <c r="AG24" s="4">
        <v>207481</v>
      </c>
      <c r="AH24" s="4">
        <v>63888</v>
      </c>
      <c r="AI24" s="4">
        <v>0</v>
      </c>
      <c r="AJ24" s="4">
        <v>0</v>
      </c>
      <c r="AK24" s="4">
        <v>21435</v>
      </c>
      <c r="AM24" s="4">
        <f t="shared" si="3"/>
        <v>60179</v>
      </c>
      <c r="AN24" s="4">
        <f t="shared" si="4"/>
        <v>-10717</v>
      </c>
      <c r="AO24" s="6">
        <f t="shared" si="5"/>
        <v>8677</v>
      </c>
      <c r="AP24" s="4">
        <f t="shared" si="6"/>
        <v>-40455</v>
      </c>
      <c r="AQ24" s="4">
        <f t="shared" si="7"/>
        <v>-303991</v>
      </c>
      <c r="AR24" s="4">
        <f t="shared" si="8"/>
        <v>0</v>
      </c>
      <c r="AS24" s="4">
        <f t="shared" si="9"/>
        <v>-729171</v>
      </c>
      <c r="AT24" s="4">
        <f t="shared" si="10"/>
        <v>-1103609</v>
      </c>
      <c r="AU24" s="4">
        <f t="shared" si="11"/>
        <v>0</v>
      </c>
    </row>
    <row r="25" spans="1:47" x14ac:dyDescent="0.25">
      <c r="A25" t="s">
        <v>181</v>
      </c>
      <c r="B25">
        <v>30905</v>
      </c>
      <c r="C25" s="4">
        <f>VLOOKUP(B25,'ER Contributions'!A:D,4,FALSE)</f>
        <v>1180593.02</v>
      </c>
      <c r="D25" s="5">
        <f>VLOOKUP(B25,'ER Contributions'!A:D,3,FALSE)</f>
        <v>3.1629999999999999E-4</v>
      </c>
      <c r="E25" s="6">
        <f>VLOOKUP(B25,'68 - Summary Exhibit'!A:N,3,FALSE)</f>
        <v>4686515</v>
      </c>
      <c r="F25" s="6">
        <f>VLOOKUP(B25,'68 - Summary Exhibit'!A:N,4,FALSE)</f>
        <v>422336</v>
      </c>
      <c r="G25" s="6">
        <f>VLOOKUP(B25,'68 - Summary Exhibit'!A:N,5,FALSE)</f>
        <v>772784</v>
      </c>
      <c r="H25" s="6">
        <f>VLOOKUP(B25,'68 - Summary Exhibit'!A:N,6,FALSE)</f>
        <v>0</v>
      </c>
      <c r="I25" s="4">
        <f>VLOOKUP(B25,'68 - Summary Exhibit'!A:N,7,FALSE)</f>
        <v>346130</v>
      </c>
      <c r="J25" s="4">
        <f>VLOOKUP(B25,'68 - Summary Exhibit'!A:N,8,FALSE)</f>
        <v>13854</v>
      </c>
      <c r="K25" s="4">
        <f>VLOOKUP(B25,'68 - Summary Exhibit'!A:N,9,FALSE)</f>
        <v>0</v>
      </c>
      <c r="L25" s="4">
        <f>VLOOKUP(B25,'68 - Summary Exhibit'!A:N,10,FALSE)</f>
        <v>0</v>
      </c>
      <c r="M25" s="4">
        <f>VLOOKUP(B25,'68 - Summary Exhibit'!A:N,11,FALSE)</f>
        <v>0</v>
      </c>
      <c r="N25" s="4">
        <f>VLOOKUP(B25,'68 - Summary Exhibit'!A:N,12,FALSE)</f>
        <v>1294662</v>
      </c>
      <c r="O25" s="4">
        <f>VLOOKUP(B25,'68 - Summary Exhibit'!A:N,13,FALSE)</f>
        <v>189786</v>
      </c>
      <c r="P25" s="4">
        <f t="shared" si="0"/>
        <v>1484448</v>
      </c>
      <c r="Q25" s="4">
        <f>VLOOKUP(B25,'68- Deferred Amortization'!A:G,3,FALSE)</f>
        <v>547263.8827558395</v>
      </c>
      <c r="R25" s="4">
        <f>VLOOKUP(B25,'68- Deferred Amortization'!A:G,4,FALSE)</f>
        <v>1082839.6925966551</v>
      </c>
      <c r="S25" s="4">
        <f>VLOOKUP(B25,'68- Deferred Amortization'!A:G,5,FALSE)</f>
        <v>-19985.731799999998</v>
      </c>
      <c r="T25" s="4">
        <f>VLOOKUP(B25,'68- Deferred Amortization'!A:G,6,FALSE)</f>
        <v>-82720.990099999995</v>
      </c>
      <c r="U25" s="4">
        <f>VLOOKUP(B25,'68- Deferred Amortization'!A:G,7,FALSE)</f>
        <v>0</v>
      </c>
      <c r="V25" s="4">
        <f t="shared" si="1"/>
        <v>0</v>
      </c>
      <c r="W25" s="4">
        <f t="shared" si="2"/>
        <v>-1</v>
      </c>
      <c r="X25">
        <v>2</v>
      </c>
      <c r="AC25" s="6">
        <v>5091624</v>
      </c>
      <c r="AD25" s="6">
        <v>415088</v>
      </c>
      <c r="AE25" s="6">
        <v>1418017</v>
      </c>
      <c r="AF25" s="6">
        <v>178811</v>
      </c>
      <c r="AG25" s="4">
        <v>265853</v>
      </c>
      <c r="AH25" s="4">
        <v>37580</v>
      </c>
      <c r="AI25" s="4">
        <v>0</v>
      </c>
      <c r="AJ25" s="4">
        <v>0</v>
      </c>
      <c r="AK25" s="4">
        <v>3829</v>
      </c>
      <c r="AM25" s="4">
        <f t="shared" si="3"/>
        <v>80277</v>
      </c>
      <c r="AN25" s="4">
        <f t="shared" si="4"/>
        <v>-3829</v>
      </c>
      <c r="AO25" s="6">
        <f t="shared" si="5"/>
        <v>7248</v>
      </c>
      <c r="AP25" s="4">
        <f t="shared" si="6"/>
        <v>-23726</v>
      </c>
      <c r="AQ25" s="4">
        <f t="shared" si="7"/>
        <v>-178811</v>
      </c>
      <c r="AR25" s="4">
        <f t="shared" si="8"/>
        <v>0</v>
      </c>
      <c r="AS25" s="4">
        <f t="shared" si="9"/>
        <v>-405109</v>
      </c>
      <c r="AT25" s="4">
        <f t="shared" si="10"/>
        <v>-645233</v>
      </c>
      <c r="AU25" s="4">
        <f t="shared" si="11"/>
        <v>0</v>
      </c>
    </row>
    <row r="26" spans="1:47" x14ac:dyDescent="0.25">
      <c r="A26" t="s">
        <v>182</v>
      </c>
      <c r="B26">
        <v>34505</v>
      </c>
      <c r="C26" s="4">
        <f>VLOOKUP(B26,'ER Contributions'!A:D,4,FALSE)</f>
        <v>2621076.09</v>
      </c>
      <c r="D26" s="5">
        <f>VLOOKUP(B26,'ER Contributions'!A:D,3,FALSE)</f>
        <v>7.8540000000000001E-4</v>
      </c>
      <c r="E26" s="6">
        <f>VLOOKUP(B26,'68 - Summary Exhibit'!A:N,3,FALSE)</f>
        <v>11637019</v>
      </c>
      <c r="F26" s="6">
        <f>VLOOKUP(B26,'68 - Summary Exhibit'!A:N,4,FALSE)</f>
        <v>1048697</v>
      </c>
      <c r="G26" s="6">
        <f>VLOOKUP(B26,'68 - Summary Exhibit'!A:N,5,FALSE)</f>
        <v>1918889</v>
      </c>
      <c r="H26" s="6">
        <f>VLOOKUP(B26,'68 - Summary Exhibit'!A:N,6,FALSE)</f>
        <v>0</v>
      </c>
      <c r="I26" s="4">
        <f>VLOOKUP(B26,'68 - Summary Exhibit'!A:N,7,FALSE)</f>
        <v>462937</v>
      </c>
      <c r="J26" s="4">
        <f>VLOOKUP(B26,'68 - Summary Exhibit'!A:N,8,FALSE)</f>
        <v>34401</v>
      </c>
      <c r="K26" s="4">
        <f>VLOOKUP(B26,'68 - Summary Exhibit'!A:N,9,FALSE)</f>
        <v>0</v>
      </c>
      <c r="L26" s="4">
        <f>VLOOKUP(B26,'68 - Summary Exhibit'!A:N,10,FALSE)</f>
        <v>0</v>
      </c>
      <c r="M26" s="4">
        <f>VLOOKUP(B26,'68 - Summary Exhibit'!A:N,11,FALSE)</f>
        <v>0</v>
      </c>
      <c r="N26" s="4">
        <f>VLOOKUP(B26,'68 - Summary Exhibit'!A:N,12,FALSE)</f>
        <v>3214757</v>
      </c>
      <c r="O26" s="4">
        <f>VLOOKUP(B26,'68 - Summary Exhibit'!A:N,13,FALSE)</f>
        <v>214106</v>
      </c>
      <c r="P26" s="4">
        <f t="shared" si="0"/>
        <v>3428863</v>
      </c>
      <c r="Q26" s="4">
        <f>VLOOKUP(B26,'68- Deferred Amortization'!A:G,3,FALSE)</f>
        <v>1172342.580735805</v>
      </c>
      <c r="R26" s="4">
        <f>VLOOKUP(B26,'68- Deferred Amortization'!A:G,4,FALSE)</f>
        <v>2478809.7914787494</v>
      </c>
      <c r="S26" s="4">
        <f>VLOOKUP(B26,'68- Deferred Amortization'!A:G,5,FALSE)</f>
        <v>-49626.284400000004</v>
      </c>
      <c r="T26" s="4">
        <f>VLOOKUP(B26,'68- Deferred Amortization'!A:G,6,FALSE)</f>
        <v>-205403.3058</v>
      </c>
      <c r="U26" s="4">
        <f>VLOOKUP(B26,'68- Deferred Amortization'!A:G,7,FALSE)</f>
        <v>0</v>
      </c>
      <c r="V26" s="4">
        <f t="shared" si="1"/>
        <v>0</v>
      </c>
      <c r="W26" s="4">
        <f t="shared" si="2"/>
        <v>-1</v>
      </c>
      <c r="X26">
        <v>2</v>
      </c>
      <c r="AC26" s="6">
        <v>12882441</v>
      </c>
      <c r="AD26" s="6">
        <v>1050224</v>
      </c>
      <c r="AE26" s="6">
        <v>3587759</v>
      </c>
      <c r="AF26" s="6">
        <v>452414</v>
      </c>
      <c r="AG26" s="4">
        <v>534112</v>
      </c>
      <c r="AH26" s="4">
        <v>95082</v>
      </c>
      <c r="AI26" s="4">
        <v>0</v>
      </c>
      <c r="AJ26" s="4">
        <v>0</v>
      </c>
      <c r="AK26" s="4">
        <v>80096</v>
      </c>
      <c r="AM26" s="4">
        <f t="shared" si="3"/>
        <v>-71175</v>
      </c>
      <c r="AN26" s="4">
        <f t="shared" si="4"/>
        <v>-80096</v>
      </c>
      <c r="AO26" s="6">
        <f t="shared" si="5"/>
        <v>-1527</v>
      </c>
      <c r="AP26" s="4">
        <f t="shared" si="6"/>
        <v>-60681</v>
      </c>
      <c r="AQ26" s="4">
        <f t="shared" si="7"/>
        <v>-452414</v>
      </c>
      <c r="AR26" s="4">
        <f t="shared" si="8"/>
        <v>0</v>
      </c>
      <c r="AS26" s="4">
        <f t="shared" si="9"/>
        <v>-1245422</v>
      </c>
      <c r="AT26" s="4">
        <f t="shared" si="10"/>
        <v>-1668870</v>
      </c>
      <c r="AU26" s="4">
        <f t="shared" si="11"/>
        <v>0</v>
      </c>
    </row>
    <row r="27" spans="1:47" x14ac:dyDescent="0.25">
      <c r="A27" t="s">
        <v>183</v>
      </c>
      <c r="B27">
        <v>31005</v>
      </c>
      <c r="C27" s="4">
        <f>VLOOKUP(B27,'ER Contributions'!A:D,4,FALSE)</f>
        <v>1733801.98</v>
      </c>
      <c r="D27" s="5">
        <f>VLOOKUP(B27,'ER Contributions'!A:D,3,FALSE)</f>
        <v>5.0339999999999998E-4</v>
      </c>
      <c r="E27" s="6">
        <f>VLOOKUP(B27,'68 - Summary Exhibit'!A:N,3,FALSE)</f>
        <v>7458716</v>
      </c>
      <c r="F27" s="6">
        <f>VLOOKUP(B27,'68 - Summary Exhibit'!A:N,4,FALSE)</f>
        <v>672160</v>
      </c>
      <c r="G27" s="6">
        <f>VLOOKUP(B27,'68 - Summary Exhibit'!A:N,5,FALSE)</f>
        <v>1229907</v>
      </c>
      <c r="H27" s="6">
        <f>VLOOKUP(B27,'68 - Summary Exhibit'!A:N,6,FALSE)</f>
        <v>0</v>
      </c>
      <c r="I27" s="4">
        <f>VLOOKUP(B27,'68 - Summary Exhibit'!A:N,7,FALSE)</f>
        <v>364625</v>
      </c>
      <c r="J27" s="4">
        <f>VLOOKUP(B27,'68 - Summary Exhibit'!A:N,8,FALSE)</f>
        <v>22049</v>
      </c>
      <c r="K27" s="4">
        <f>VLOOKUP(B27,'68 - Summary Exhibit'!A:N,9,FALSE)</f>
        <v>0</v>
      </c>
      <c r="L27" s="4">
        <f>VLOOKUP(B27,'68 - Summary Exhibit'!A:N,10,FALSE)</f>
        <v>0</v>
      </c>
      <c r="M27" s="4">
        <f>VLOOKUP(B27,'68 - Summary Exhibit'!A:N,11,FALSE)</f>
        <v>0</v>
      </c>
      <c r="N27" s="4">
        <f>VLOOKUP(B27,'68 - Summary Exhibit'!A:N,12,FALSE)</f>
        <v>2060490</v>
      </c>
      <c r="O27" s="4">
        <f>VLOOKUP(B27,'68 - Summary Exhibit'!A:N,13,FALSE)</f>
        <v>247767</v>
      </c>
      <c r="P27" s="4">
        <f t="shared" si="0"/>
        <v>2308257</v>
      </c>
      <c r="Q27" s="4">
        <f>VLOOKUP(B27,'68- Deferred Amortization'!A:G,3,FALSE)</f>
        <v>757225.48399507185</v>
      </c>
      <c r="R27" s="4">
        <f>VLOOKUP(B27,'68- Deferred Amortization'!A:G,4,FALSE)</f>
        <v>1650878.0140282221</v>
      </c>
      <c r="S27" s="4">
        <f>VLOOKUP(B27,'68- Deferred Amortization'!A:G,5,FALSE)</f>
        <v>-31807.832399999999</v>
      </c>
      <c r="T27" s="4">
        <f>VLOOKUP(B27,'68- Deferred Amortization'!A:G,6,FALSE)</f>
        <v>-131652.6918</v>
      </c>
      <c r="U27" s="4">
        <f>VLOOKUP(B27,'68- Deferred Amortization'!A:G,7,FALSE)</f>
        <v>0</v>
      </c>
      <c r="V27" s="4">
        <f t="shared" si="1"/>
        <v>0</v>
      </c>
      <c r="W27" s="4">
        <f t="shared" si="2"/>
        <v>0</v>
      </c>
      <c r="X27">
        <v>2</v>
      </c>
      <c r="AC27" s="6">
        <v>8107585</v>
      </c>
      <c r="AD27" s="6">
        <v>660960</v>
      </c>
      <c r="AE27" s="6">
        <v>2257962</v>
      </c>
      <c r="AF27" s="6">
        <v>284728</v>
      </c>
      <c r="AG27" s="4">
        <v>324157</v>
      </c>
      <c r="AH27" s="4">
        <v>59840</v>
      </c>
      <c r="AI27" s="4">
        <v>0</v>
      </c>
      <c r="AJ27" s="4">
        <v>0</v>
      </c>
      <c r="AK27" s="4">
        <v>0</v>
      </c>
      <c r="AM27" s="4">
        <f t="shared" si="3"/>
        <v>40468</v>
      </c>
      <c r="AN27" s="4">
        <f t="shared" si="4"/>
        <v>0</v>
      </c>
      <c r="AO27" s="6">
        <f t="shared" si="5"/>
        <v>11200</v>
      </c>
      <c r="AP27" s="4">
        <f t="shared" si="6"/>
        <v>-37791</v>
      </c>
      <c r="AQ27" s="4">
        <f t="shared" si="7"/>
        <v>-284728</v>
      </c>
      <c r="AR27" s="4">
        <f t="shared" si="8"/>
        <v>0</v>
      </c>
      <c r="AS27" s="4">
        <f t="shared" si="9"/>
        <v>-648869</v>
      </c>
      <c r="AT27" s="4">
        <f t="shared" si="10"/>
        <v>-1028055</v>
      </c>
      <c r="AU27" s="4">
        <f t="shared" si="11"/>
        <v>0</v>
      </c>
    </row>
    <row r="28" spans="1:47" x14ac:dyDescent="0.25">
      <c r="A28" t="s">
        <v>184</v>
      </c>
      <c r="B28">
        <v>31405</v>
      </c>
      <c r="C28" s="4">
        <f>VLOOKUP(B28,'ER Contributions'!A:D,4,FALSE)</f>
        <v>3405233.3699999992</v>
      </c>
      <c r="D28" s="5">
        <f>VLOOKUP(B28,'ER Contributions'!A:D,3,FALSE)</f>
        <v>9.7999999999999997E-4</v>
      </c>
      <c r="E28" s="6">
        <f>VLOOKUP(B28,'68 - Summary Exhibit'!A:N,3,FALSE)</f>
        <v>14520344</v>
      </c>
      <c r="F28" s="6">
        <f>VLOOKUP(B28,'68 - Summary Exhibit'!A:N,4,FALSE)</f>
        <v>1308535</v>
      </c>
      <c r="G28" s="6">
        <f>VLOOKUP(B28,'68 - Summary Exhibit'!A:N,5,FALSE)</f>
        <v>2394336</v>
      </c>
      <c r="H28" s="6">
        <f>VLOOKUP(B28,'68 - Summary Exhibit'!A:N,6,FALSE)</f>
        <v>0</v>
      </c>
      <c r="I28" s="4">
        <f>VLOOKUP(B28,'68 - Summary Exhibit'!A:N,7,FALSE)</f>
        <v>801792</v>
      </c>
      <c r="J28" s="4">
        <f>VLOOKUP(B28,'68 - Summary Exhibit'!A:N,8,FALSE)</f>
        <v>42924</v>
      </c>
      <c r="K28" s="4">
        <f>VLOOKUP(B28,'68 - Summary Exhibit'!A:N,9,FALSE)</f>
        <v>0</v>
      </c>
      <c r="L28" s="4">
        <f>VLOOKUP(B28,'68 - Summary Exhibit'!A:N,10,FALSE)</f>
        <v>0</v>
      </c>
      <c r="M28" s="4">
        <f>VLOOKUP(B28,'68 - Summary Exhibit'!A:N,11,FALSE)</f>
        <v>0</v>
      </c>
      <c r="N28" s="4">
        <f>VLOOKUP(B28,'68 - Summary Exhibit'!A:N,12,FALSE)</f>
        <v>4011283</v>
      </c>
      <c r="O28" s="4">
        <f>VLOOKUP(B28,'68 - Summary Exhibit'!A:N,13,FALSE)</f>
        <v>578999</v>
      </c>
      <c r="P28" s="4">
        <f t="shared" si="0"/>
        <v>4590282</v>
      </c>
      <c r="Q28" s="4">
        <f>VLOOKUP(B28,'68- Deferred Amortization'!A:G,3,FALSE)</f>
        <v>1557147.14387115</v>
      </c>
      <c r="R28" s="4">
        <f>VLOOKUP(B28,'68- Deferred Amortization'!A:G,4,FALSE)</f>
        <v>3222810.8607886015</v>
      </c>
      <c r="S28" s="4">
        <f>VLOOKUP(B28,'68- Deferred Amortization'!A:G,5,FALSE)</f>
        <v>-61922.28</v>
      </c>
      <c r="T28" s="4">
        <f>VLOOKUP(B28,'68- Deferred Amortization'!A:G,6,FALSE)</f>
        <v>-256296.46</v>
      </c>
      <c r="U28" s="4">
        <f>VLOOKUP(B28,'68- Deferred Amortization'!A:G,7,FALSE)</f>
        <v>0</v>
      </c>
      <c r="V28" s="4">
        <f t="shared" si="1"/>
        <v>1</v>
      </c>
      <c r="W28" s="4">
        <f t="shared" si="2"/>
        <v>0</v>
      </c>
      <c r="X28">
        <v>2</v>
      </c>
      <c r="AC28" s="6">
        <v>15971760</v>
      </c>
      <c r="AD28" s="6">
        <v>1302076</v>
      </c>
      <c r="AE28" s="6">
        <v>4448134</v>
      </c>
      <c r="AF28" s="6">
        <v>560907</v>
      </c>
      <c r="AG28" s="4">
        <v>904969</v>
      </c>
      <c r="AH28" s="4">
        <v>117883</v>
      </c>
      <c r="AI28" s="4">
        <v>0</v>
      </c>
      <c r="AJ28" s="4">
        <v>0</v>
      </c>
      <c r="AK28" s="4">
        <v>0</v>
      </c>
      <c r="AM28" s="4">
        <f t="shared" si="3"/>
        <v>-103177</v>
      </c>
      <c r="AN28" s="4">
        <f t="shared" si="4"/>
        <v>0</v>
      </c>
      <c r="AO28" s="6">
        <f t="shared" si="5"/>
        <v>6459</v>
      </c>
      <c r="AP28" s="4">
        <f t="shared" si="6"/>
        <v>-74959</v>
      </c>
      <c r="AQ28" s="4">
        <f t="shared" si="7"/>
        <v>-560907</v>
      </c>
      <c r="AR28" s="4">
        <f t="shared" si="8"/>
        <v>0</v>
      </c>
      <c r="AS28" s="4">
        <f t="shared" si="9"/>
        <v>-1451416</v>
      </c>
      <c r="AT28" s="4">
        <f t="shared" si="10"/>
        <v>-2053798</v>
      </c>
      <c r="AU28" s="4">
        <f t="shared" si="11"/>
        <v>0</v>
      </c>
    </row>
    <row r="29" spans="1:47" x14ac:dyDescent="0.25">
      <c r="A29" t="s">
        <v>185</v>
      </c>
      <c r="B29">
        <v>36505</v>
      </c>
      <c r="C29" s="4">
        <f>VLOOKUP(B29,'ER Contributions'!A:D,4,FALSE)</f>
        <v>7074709.3399999989</v>
      </c>
      <c r="D29" s="5">
        <f>VLOOKUP(B29,'ER Contributions'!A:D,3,FALSE)</f>
        <v>2.1462E-3</v>
      </c>
      <c r="E29" s="6">
        <f>VLOOKUP(B29,'68 - Summary Exhibit'!A:N,3,FALSE)</f>
        <v>31799554</v>
      </c>
      <c r="F29" s="6">
        <f>VLOOKUP(B29,'68 - Summary Exhibit'!A:N,4,FALSE)</f>
        <v>2865692</v>
      </c>
      <c r="G29" s="6">
        <f>VLOOKUP(B29,'68 - Summary Exhibit'!A:N,5,FALSE)</f>
        <v>5243596</v>
      </c>
      <c r="H29" s="6">
        <f>VLOOKUP(B29,'68 - Summary Exhibit'!A:N,6,FALSE)</f>
        <v>0</v>
      </c>
      <c r="I29" s="4">
        <f>VLOOKUP(B29,'68 - Summary Exhibit'!A:N,7,FALSE)</f>
        <v>810469</v>
      </c>
      <c r="J29" s="4">
        <f>VLOOKUP(B29,'68 - Summary Exhibit'!A:N,8,FALSE)</f>
        <v>94004</v>
      </c>
      <c r="K29" s="4">
        <f>VLOOKUP(B29,'68 - Summary Exhibit'!A:N,9,FALSE)</f>
        <v>0</v>
      </c>
      <c r="L29" s="4">
        <f>VLOOKUP(B29,'68 - Summary Exhibit'!A:N,10,FALSE)</f>
        <v>0</v>
      </c>
      <c r="M29" s="4">
        <f>VLOOKUP(B29,'68 - Summary Exhibit'!A:N,11,FALSE)</f>
        <v>27822</v>
      </c>
      <c r="N29" s="4">
        <f>VLOOKUP(B29,'68 - Summary Exhibit'!A:N,12,FALSE)</f>
        <v>8784710</v>
      </c>
      <c r="O29" s="4">
        <f>VLOOKUP(B29,'68 - Summary Exhibit'!A:N,13,FALSE)</f>
        <v>325890</v>
      </c>
      <c r="P29" s="4">
        <f t="shared" si="0"/>
        <v>9110600</v>
      </c>
      <c r="Q29" s="4">
        <f>VLOOKUP(B29,'68- Deferred Amortization'!A:G,3,FALSE)</f>
        <v>2871539.7591769942</v>
      </c>
      <c r="R29" s="4">
        <f>VLOOKUP(B29,'68- Deferred Amortization'!A:G,4,FALSE)</f>
        <v>6623290.449204661</v>
      </c>
      <c r="S29" s="4">
        <f>VLOOKUP(B29,'68- Deferred Amortization'!A:G,5,FALSE)</f>
        <v>-135609.79320000001</v>
      </c>
      <c r="T29" s="4">
        <f>VLOOKUP(B29,'68- Deferred Amortization'!A:G,6,FALSE)</f>
        <v>-561289.24739999999</v>
      </c>
      <c r="U29" s="4">
        <f>VLOOKUP(B29,'68- Deferred Amortization'!A:G,7,FALSE)</f>
        <v>0</v>
      </c>
      <c r="V29" s="4">
        <f t="shared" si="1"/>
        <v>1</v>
      </c>
      <c r="W29" s="4">
        <f t="shared" si="2"/>
        <v>0</v>
      </c>
      <c r="X29">
        <v>2</v>
      </c>
      <c r="AC29" s="6">
        <v>36123186</v>
      </c>
      <c r="AD29" s="6">
        <v>2944894</v>
      </c>
      <c r="AE29" s="6">
        <v>10060304</v>
      </c>
      <c r="AF29" s="6">
        <v>1268599</v>
      </c>
      <c r="AG29" s="4">
        <v>1296295</v>
      </c>
      <c r="AH29" s="4">
        <v>266615</v>
      </c>
      <c r="AI29" s="4">
        <v>0</v>
      </c>
      <c r="AJ29" s="4">
        <v>0</v>
      </c>
      <c r="AK29" s="4">
        <v>146024</v>
      </c>
      <c r="AM29" s="4">
        <f t="shared" si="3"/>
        <v>-485826</v>
      </c>
      <c r="AN29" s="4">
        <f t="shared" si="4"/>
        <v>-118202</v>
      </c>
      <c r="AO29" s="6">
        <f t="shared" si="5"/>
        <v>-79202</v>
      </c>
      <c r="AP29" s="4">
        <f t="shared" si="6"/>
        <v>-172611</v>
      </c>
      <c r="AQ29" s="4">
        <f t="shared" si="7"/>
        <v>-1268599</v>
      </c>
      <c r="AR29" s="4">
        <f t="shared" si="8"/>
        <v>0</v>
      </c>
      <c r="AS29" s="4">
        <f t="shared" si="9"/>
        <v>-4323632</v>
      </c>
      <c r="AT29" s="4">
        <f t="shared" si="10"/>
        <v>-4816708</v>
      </c>
      <c r="AU29" s="4">
        <f t="shared" si="11"/>
        <v>0</v>
      </c>
    </row>
    <row r="30" spans="1:47" x14ac:dyDescent="0.25">
      <c r="A30" t="s">
        <v>186</v>
      </c>
      <c r="B30">
        <v>31605</v>
      </c>
      <c r="C30" s="4">
        <f>VLOOKUP(B30,'ER Contributions'!A:D,4,FALSE)</f>
        <v>1821420.3800000001</v>
      </c>
      <c r="D30" s="5">
        <f>VLOOKUP(B30,'ER Contributions'!A:D,3,FALSE)</f>
        <v>5.2380000000000005E-4</v>
      </c>
      <c r="E30" s="6">
        <f>VLOOKUP(B30,'68 - Summary Exhibit'!A:N,3,FALSE)</f>
        <v>7760976</v>
      </c>
      <c r="F30" s="6">
        <f>VLOOKUP(B30,'68 - Summary Exhibit'!A:N,4,FALSE)</f>
        <v>699399</v>
      </c>
      <c r="G30" s="6">
        <f>VLOOKUP(B30,'68 - Summary Exhibit'!A:N,5,FALSE)</f>
        <v>1279748</v>
      </c>
      <c r="H30" s="6">
        <f>VLOOKUP(B30,'68 - Summary Exhibit'!A:N,6,FALSE)</f>
        <v>0</v>
      </c>
      <c r="I30" s="4">
        <f>VLOOKUP(B30,'68 - Summary Exhibit'!A:N,7,FALSE)</f>
        <v>332433</v>
      </c>
      <c r="J30" s="4">
        <f>VLOOKUP(B30,'68 - Summary Exhibit'!A:N,8,FALSE)</f>
        <v>22942</v>
      </c>
      <c r="K30" s="4">
        <f>VLOOKUP(B30,'68 - Summary Exhibit'!A:N,9,FALSE)</f>
        <v>0</v>
      </c>
      <c r="L30" s="4">
        <f>VLOOKUP(B30,'68 - Summary Exhibit'!A:N,10,FALSE)</f>
        <v>0</v>
      </c>
      <c r="M30" s="4">
        <f>VLOOKUP(B30,'68 - Summary Exhibit'!A:N,11,FALSE)</f>
        <v>0</v>
      </c>
      <c r="N30" s="4">
        <f>VLOOKUP(B30,'68 - Summary Exhibit'!A:N,12,FALSE)</f>
        <v>2143990</v>
      </c>
      <c r="O30" s="4">
        <f>VLOOKUP(B30,'68 - Summary Exhibit'!A:N,13,FALSE)</f>
        <v>202884</v>
      </c>
      <c r="P30" s="4">
        <f t="shared" si="0"/>
        <v>2346874</v>
      </c>
      <c r="Q30" s="4">
        <f>VLOOKUP(B30,'68- Deferred Amortization'!A:G,3,FALSE)</f>
        <v>778197.76182611263</v>
      </c>
      <c r="R30" s="4">
        <f>VLOOKUP(B30,'68- Deferred Amortization'!A:G,4,FALSE)</f>
        <v>1680524.0827740936</v>
      </c>
      <c r="S30" s="4">
        <f>VLOOKUP(B30,'68- Deferred Amortization'!A:G,5,FALSE)</f>
        <v>-33096.826800000003</v>
      </c>
      <c r="T30" s="4">
        <f>VLOOKUP(B30,'68- Deferred Amortization'!A:G,6,FALSE)</f>
        <v>-136987.8426</v>
      </c>
      <c r="U30" s="4">
        <f>VLOOKUP(B30,'68- Deferred Amortization'!A:G,7,FALSE)</f>
        <v>0</v>
      </c>
      <c r="V30" s="4">
        <f t="shared" si="1"/>
        <v>1</v>
      </c>
      <c r="W30" s="4">
        <f t="shared" si="2"/>
        <v>1</v>
      </c>
      <c r="X30">
        <v>2</v>
      </c>
      <c r="AC30" s="6">
        <v>8637754</v>
      </c>
      <c r="AD30" s="6">
        <v>704181</v>
      </c>
      <c r="AE30" s="6">
        <v>2405614</v>
      </c>
      <c r="AF30" s="6">
        <v>303347</v>
      </c>
      <c r="AG30" s="4">
        <v>341480</v>
      </c>
      <c r="AH30" s="4">
        <v>63753</v>
      </c>
      <c r="AI30" s="4">
        <v>0</v>
      </c>
      <c r="AJ30" s="4">
        <v>0</v>
      </c>
      <c r="AK30" s="4">
        <v>0</v>
      </c>
      <c r="AM30" s="4">
        <f t="shared" si="3"/>
        <v>-9047</v>
      </c>
      <c r="AN30" s="4">
        <f t="shared" si="4"/>
        <v>0</v>
      </c>
      <c r="AO30" s="6">
        <f t="shared" si="5"/>
        <v>-4782</v>
      </c>
      <c r="AP30" s="4">
        <f t="shared" si="6"/>
        <v>-40811</v>
      </c>
      <c r="AQ30" s="4">
        <f t="shared" si="7"/>
        <v>-303347</v>
      </c>
      <c r="AR30" s="4">
        <f t="shared" si="8"/>
        <v>0</v>
      </c>
      <c r="AS30" s="4">
        <f t="shared" si="9"/>
        <v>-876778</v>
      </c>
      <c r="AT30" s="4">
        <f t="shared" si="10"/>
        <v>-1125866</v>
      </c>
      <c r="AU30" s="4">
        <f t="shared" si="11"/>
        <v>0</v>
      </c>
    </row>
    <row r="31" spans="1:47" x14ac:dyDescent="0.25">
      <c r="A31" t="s">
        <v>187</v>
      </c>
      <c r="B31">
        <v>31805</v>
      </c>
      <c r="C31" s="4">
        <f>VLOOKUP(B31,'ER Contributions'!A:D,4,FALSE)</f>
        <v>3832630.7199999997</v>
      </c>
      <c r="D31" s="5">
        <f>VLOOKUP(B31,'ER Contributions'!A:D,3,FALSE)</f>
        <v>1.1194E-3</v>
      </c>
      <c r="E31" s="6">
        <f>VLOOKUP(B31,'68 - Summary Exhibit'!A:N,3,FALSE)</f>
        <v>16585789</v>
      </c>
      <c r="F31" s="6">
        <f>VLOOKUP(B31,'68 - Summary Exhibit'!A:N,4,FALSE)</f>
        <v>1494668</v>
      </c>
      <c r="G31" s="6">
        <f>VLOOKUP(B31,'68 - Summary Exhibit'!A:N,5,FALSE)</f>
        <v>2734918</v>
      </c>
      <c r="H31" s="6">
        <f>VLOOKUP(B31,'68 - Summary Exhibit'!A:N,6,FALSE)</f>
        <v>0</v>
      </c>
      <c r="I31" s="4">
        <f>VLOOKUP(B31,'68 - Summary Exhibit'!A:N,7,FALSE)</f>
        <v>386235</v>
      </c>
      <c r="J31" s="4">
        <f>VLOOKUP(B31,'68 - Summary Exhibit'!A:N,8,FALSE)</f>
        <v>49030</v>
      </c>
      <c r="K31" s="4">
        <f>VLOOKUP(B31,'68 - Summary Exhibit'!A:N,9,FALSE)</f>
        <v>0</v>
      </c>
      <c r="L31" s="4">
        <f>VLOOKUP(B31,'68 - Summary Exhibit'!A:N,10,FALSE)</f>
        <v>0</v>
      </c>
      <c r="M31" s="4">
        <f>VLOOKUP(B31,'68 - Summary Exhibit'!A:N,11,FALSE)</f>
        <v>919090</v>
      </c>
      <c r="N31" s="4">
        <f>VLOOKUP(B31,'68 - Summary Exhibit'!A:N,12,FALSE)</f>
        <v>4581868</v>
      </c>
      <c r="O31" s="4">
        <f>VLOOKUP(B31,'68 - Summary Exhibit'!A:N,13,FALSE)</f>
        <v>-70493</v>
      </c>
      <c r="P31" s="4">
        <f t="shared" si="0"/>
        <v>4511375</v>
      </c>
      <c r="Q31" s="4">
        <f>VLOOKUP(B31,'68- Deferred Amortization'!A:G,3,FALSE)</f>
        <v>1104466.5496424485</v>
      </c>
      <c r="R31" s="4">
        <f>VLOOKUP(B31,'68- Deferred Amortization'!A:G,4,FALSE)</f>
        <v>2906717.9235728621</v>
      </c>
      <c r="S31" s="4">
        <f>VLOOKUP(B31,'68- Deferred Amortization'!A:G,5,FALSE)</f>
        <v>-70730.4084</v>
      </c>
      <c r="T31" s="4">
        <f>VLOOKUP(B31,'68- Deferred Amortization'!A:G,6,FALSE)</f>
        <v>-292753.32380000001</v>
      </c>
      <c r="U31" s="4">
        <f>VLOOKUP(B31,'68- Deferred Amortization'!A:G,7,FALSE)</f>
        <v>0</v>
      </c>
      <c r="V31" s="4">
        <f t="shared" si="1"/>
        <v>1</v>
      </c>
      <c r="W31" s="4">
        <f t="shared" si="2"/>
        <v>0</v>
      </c>
      <c r="X31">
        <v>2</v>
      </c>
      <c r="AC31" s="6">
        <v>21290122</v>
      </c>
      <c r="AD31" s="6">
        <v>1735649</v>
      </c>
      <c r="AE31" s="6">
        <v>5929297</v>
      </c>
      <c r="AF31" s="6">
        <v>747681</v>
      </c>
      <c r="AG31" s="4">
        <v>775286</v>
      </c>
      <c r="AH31" s="4">
        <v>157136</v>
      </c>
      <c r="AI31" s="4">
        <v>0</v>
      </c>
      <c r="AJ31" s="4">
        <v>0</v>
      </c>
      <c r="AK31" s="4">
        <v>0</v>
      </c>
      <c r="AM31" s="4">
        <f t="shared" si="3"/>
        <v>-389051</v>
      </c>
      <c r="AN31" s="4">
        <f t="shared" si="4"/>
        <v>919090</v>
      </c>
      <c r="AO31" s="6">
        <f t="shared" si="5"/>
        <v>-240981</v>
      </c>
      <c r="AP31" s="4">
        <f t="shared" si="6"/>
        <v>-108106</v>
      </c>
      <c r="AQ31" s="4">
        <f t="shared" si="7"/>
        <v>-747681</v>
      </c>
      <c r="AR31" s="4">
        <f t="shared" si="8"/>
        <v>0</v>
      </c>
      <c r="AS31" s="4">
        <f t="shared" si="9"/>
        <v>-4704333</v>
      </c>
      <c r="AT31" s="4">
        <f t="shared" si="10"/>
        <v>-3194379</v>
      </c>
      <c r="AU31" s="4">
        <f t="shared" si="11"/>
        <v>0</v>
      </c>
    </row>
    <row r="32" spans="1:47" x14ac:dyDescent="0.25">
      <c r="A32" t="s">
        <v>188</v>
      </c>
      <c r="B32">
        <v>35305</v>
      </c>
      <c r="C32" s="4">
        <f>VLOOKUP(B32,'ER Contributions'!A:D,4,FALSE)</f>
        <v>4607004.38</v>
      </c>
      <c r="D32" s="5">
        <f>VLOOKUP(B32,'ER Contributions'!A:D,3,FALSE)</f>
        <v>1.4265E-3</v>
      </c>
      <c r="E32" s="6">
        <f>VLOOKUP(B32,'68 - Summary Exhibit'!A:N,3,FALSE)</f>
        <v>21135991</v>
      </c>
      <c r="F32" s="6">
        <f>VLOOKUP(B32,'68 - Summary Exhibit'!A:N,4,FALSE)</f>
        <v>1904720</v>
      </c>
      <c r="G32" s="6">
        <f>VLOOKUP(B32,'68 - Summary Exhibit'!A:N,5,FALSE)</f>
        <v>3485225</v>
      </c>
      <c r="H32" s="6">
        <f>VLOOKUP(B32,'68 - Summary Exhibit'!A:N,6,FALSE)</f>
        <v>0</v>
      </c>
      <c r="I32" s="4">
        <f>VLOOKUP(B32,'68 - Summary Exhibit'!A:N,7,FALSE)</f>
        <v>0</v>
      </c>
      <c r="J32" s="4">
        <f>VLOOKUP(B32,'68 - Summary Exhibit'!A:N,8,FALSE)</f>
        <v>62481</v>
      </c>
      <c r="K32" s="4">
        <f>VLOOKUP(B32,'68 - Summary Exhibit'!A:N,9,FALSE)</f>
        <v>0</v>
      </c>
      <c r="L32" s="4">
        <f>VLOOKUP(B32,'68 - Summary Exhibit'!A:N,10,FALSE)</f>
        <v>0</v>
      </c>
      <c r="M32" s="4">
        <f>VLOOKUP(B32,'68 - Summary Exhibit'!A:N,11,FALSE)</f>
        <v>572870</v>
      </c>
      <c r="N32" s="4">
        <f>VLOOKUP(B32,'68 - Summary Exhibit'!A:N,12,FALSE)</f>
        <v>5838873</v>
      </c>
      <c r="O32" s="4">
        <f>VLOOKUP(B32,'68 - Summary Exhibit'!A:N,13,FALSE)</f>
        <v>-113710</v>
      </c>
      <c r="P32" s="4">
        <f t="shared" si="0"/>
        <v>5725163</v>
      </c>
      <c r="Q32" s="4">
        <f>VLOOKUP(B32,'68- Deferred Amortization'!A:G,3,FALSE)</f>
        <v>1269887.024644393</v>
      </c>
      <c r="R32" s="4">
        <f>VLOOKUP(B32,'68- Deferred Amortization'!A:G,4,FALSE)</f>
        <v>3947909.5832157289</v>
      </c>
      <c r="S32" s="4">
        <f>VLOOKUP(B32,'68- Deferred Amortization'!A:G,5,FALSE)</f>
        <v>-90134.828999999998</v>
      </c>
      <c r="T32" s="4">
        <f>VLOOKUP(B32,'68- Deferred Amortization'!A:G,6,FALSE)</f>
        <v>-373068.26550000004</v>
      </c>
      <c r="U32" s="4">
        <f>VLOOKUP(B32,'68- Deferred Amortization'!A:G,7,FALSE)</f>
        <v>0</v>
      </c>
      <c r="V32" s="4">
        <f t="shared" si="1"/>
        <v>1</v>
      </c>
      <c r="W32" s="4">
        <f t="shared" si="2"/>
        <v>0</v>
      </c>
      <c r="X32">
        <v>2</v>
      </c>
      <c r="AC32" s="6">
        <v>24844589</v>
      </c>
      <c r="AD32" s="6">
        <v>2025422</v>
      </c>
      <c r="AE32" s="6">
        <v>6919216</v>
      </c>
      <c r="AF32" s="6">
        <v>872509</v>
      </c>
      <c r="AG32" s="4">
        <v>211346</v>
      </c>
      <c r="AH32" s="4">
        <v>183371</v>
      </c>
      <c r="AI32" s="4">
        <v>0</v>
      </c>
      <c r="AJ32" s="4">
        <v>0</v>
      </c>
      <c r="AK32" s="4">
        <v>263772</v>
      </c>
      <c r="AM32" s="4">
        <f t="shared" si="3"/>
        <v>-211346</v>
      </c>
      <c r="AN32" s="4">
        <f t="shared" si="4"/>
        <v>309098</v>
      </c>
      <c r="AO32" s="6">
        <f t="shared" si="5"/>
        <v>-120702</v>
      </c>
      <c r="AP32" s="4">
        <f t="shared" si="6"/>
        <v>-120890</v>
      </c>
      <c r="AQ32" s="4">
        <f t="shared" si="7"/>
        <v>-872509</v>
      </c>
      <c r="AR32" s="4">
        <f t="shared" si="8"/>
        <v>0</v>
      </c>
      <c r="AS32" s="4">
        <f t="shared" si="9"/>
        <v>-3708598</v>
      </c>
      <c r="AT32" s="4">
        <f t="shared" si="10"/>
        <v>-3433991</v>
      </c>
      <c r="AU32" s="4">
        <f t="shared" si="11"/>
        <v>0</v>
      </c>
    </row>
    <row r="33" spans="1:47" x14ac:dyDescent="0.25">
      <c r="A33" t="s">
        <v>189</v>
      </c>
      <c r="B33">
        <v>36005</v>
      </c>
      <c r="C33" s="4">
        <f>VLOOKUP(B33,'ER Contributions'!A:D,4,FALSE)</f>
        <v>13920854.01</v>
      </c>
      <c r="D33" s="5">
        <f>VLOOKUP(B33,'ER Contributions'!A:D,3,FALSE)</f>
        <v>4.3281999999999999E-3</v>
      </c>
      <c r="E33" s="6">
        <f>VLOOKUP(B33,'68 - Summary Exhibit'!A:N,3,FALSE)</f>
        <v>64129546</v>
      </c>
      <c r="F33" s="6">
        <f>VLOOKUP(B33,'68 - Summary Exhibit'!A:N,4,FALSE)</f>
        <v>5779186</v>
      </c>
      <c r="G33" s="6">
        <f>VLOOKUP(B33,'68 - Summary Exhibit'!A:N,5,FALSE)</f>
        <v>10574658</v>
      </c>
      <c r="H33" s="6">
        <f>VLOOKUP(B33,'68 - Summary Exhibit'!A:N,6,FALSE)</f>
        <v>0</v>
      </c>
      <c r="I33" s="4">
        <f>VLOOKUP(B33,'68 - Summary Exhibit'!A:N,7,FALSE)</f>
        <v>1298649</v>
      </c>
      <c r="J33" s="4">
        <f>VLOOKUP(B33,'68 - Summary Exhibit'!A:N,8,FALSE)</f>
        <v>189575</v>
      </c>
      <c r="K33" s="4">
        <f>VLOOKUP(B33,'68 - Summary Exhibit'!A:N,9,FALSE)</f>
        <v>0</v>
      </c>
      <c r="L33" s="4">
        <f>VLOOKUP(B33,'68 - Summary Exhibit'!A:N,10,FALSE)</f>
        <v>0</v>
      </c>
      <c r="M33" s="4">
        <f>VLOOKUP(B33,'68 - Summary Exhibit'!A:N,11,FALSE)</f>
        <v>921380</v>
      </c>
      <c r="N33" s="4">
        <f>VLOOKUP(B33,'68 - Summary Exhibit'!A:N,12,FALSE)</f>
        <v>17715955</v>
      </c>
      <c r="O33" s="4">
        <f>VLOOKUP(B33,'68 - Summary Exhibit'!A:N,13,FALSE)</f>
        <v>-559403</v>
      </c>
      <c r="P33" s="4">
        <f t="shared" si="0"/>
        <v>17156552</v>
      </c>
      <c r="Q33" s="4">
        <f>VLOOKUP(B33,'68- Deferred Amortization'!A:G,3,FALSE)</f>
        <v>4731513.0097699882</v>
      </c>
      <c r="R33" s="4">
        <f>VLOOKUP(B33,'68- Deferred Amortization'!A:G,4,FALSE)</f>
        <v>13215447.730938131</v>
      </c>
      <c r="S33" s="4">
        <f>VLOOKUP(B33,'68- Deferred Amortization'!A:G,5,FALSE)</f>
        <v>-273481.64519999997</v>
      </c>
      <c r="T33" s="4">
        <f>VLOOKUP(B33,'68- Deferred Amortization'!A:G,6,FALSE)</f>
        <v>-1131941.1613999999</v>
      </c>
      <c r="U33" s="4">
        <f>VLOOKUP(B33,'68- Deferred Amortization'!A:G,7,FALSE)</f>
        <v>0</v>
      </c>
      <c r="V33" s="4">
        <f t="shared" si="1"/>
        <v>2</v>
      </c>
      <c r="W33" s="4">
        <f t="shared" si="2"/>
        <v>0</v>
      </c>
      <c r="X33">
        <v>2</v>
      </c>
      <c r="AC33" s="6">
        <v>68963658</v>
      </c>
      <c r="AD33" s="6">
        <v>5622169</v>
      </c>
      <c r="AE33" s="6">
        <v>19206373</v>
      </c>
      <c r="AF33" s="6">
        <v>2421912</v>
      </c>
      <c r="AG33" s="4">
        <v>0</v>
      </c>
      <c r="AH33" s="4">
        <v>509000</v>
      </c>
      <c r="AI33" s="4">
        <v>0</v>
      </c>
      <c r="AJ33" s="4">
        <v>0</v>
      </c>
      <c r="AK33" s="4">
        <v>2130108</v>
      </c>
      <c r="AM33" s="4">
        <f t="shared" si="3"/>
        <v>1298649</v>
      </c>
      <c r="AN33" s="4">
        <f t="shared" si="4"/>
        <v>-1208728</v>
      </c>
      <c r="AO33" s="6">
        <f t="shared" si="5"/>
        <v>157017</v>
      </c>
      <c r="AP33" s="4">
        <f t="shared" si="6"/>
        <v>-319425</v>
      </c>
      <c r="AQ33" s="4">
        <f t="shared" si="7"/>
        <v>-2421912</v>
      </c>
      <c r="AR33" s="4">
        <f t="shared" si="8"/>
        <v>0</v>
      </c>
      <c r="AS33" s="4">
        <f t="shared" si="9"/>
        <v>-4834112</v>
      </c>
      <c r="AT33" s="4">
        <f t="shared" si="10"/>
        <v>-8631715</v>
      </c>
      <c r="AU33" s="4">
        <f t="shared" si="11"/>
        <v>0</v>
      </c>
    </row>
    <row r="34" spans="1:47" x14ac:dyDescent="0.25">
      <c r="A34" t="s">
        <v>190</v>
      </c>
      <c r="B34">
        <v>32305</v>
      </c>
      <c r="C34" s="4">
        <f>VLOOKUP(B34,'ER Contributions'!A:D,4,FALSE)</f>
        <v>2261626.9400000004</v>
      </c>
      <c r="D34" s="5">
        <f>VLOOKUP(B34,'ER Contributions'!A:D,3,FALSE)</f>
        <v>7.1170000000000001E-4</v>
      </c>
      <c r="E34" s="6">
        <f>VLOOKUP(B34,'68 - Summary Exhibit'!A:N,3,FALSE)</f>
        <v>10545030</v>
      </c>
      <c r="F34" s="6">
        <f>VLOOKUP(B34,'68 - Summary Exhibit'!A:N,4,FALSE)</f>
        <v>950290</v>
      </c>
      <c r="G34" s="6">
        <f>VLOOKUP(B34,'68 - Summary Exhibit'!A:N,5,FALSE)</f>
        <v>1738825</v>
      </c>
      <c r="H34" s="6">
        <f>VLOOKUP(B34,'68 - Summary Exhibit'!A:N,6,FALSE)</f>
        <v>0</v>
      </c>
      <c r="I34" s="4">
        <f>VLOOKUP(B34,'68 - Summary Exhibit'!A:N,7,FALSE)</f>
        <v>505119</v>
      </c>
      <c r="J34" s="4">
        <f>VLOOKUP(B34,'68 - Summary Exhibit'!A:N,8,FALSE)</f>
        <v>31172</v>
      </c>
      <c r="K34" s="4">
        <f>VLOOKUP(B34,'68 - Summary Exhibit'!A:N,9,FALSE)</f>
        <v>0</v>
      </c>
      <c r="L34" s="4">
        <f>VLOOKUP(B34,'68 - Summary Exhibit'!A:N,10,FALSE)</f>
        <v>0</v>
      </c>
      <c r="M34" s="4">
        <f>VLOOKUP(B34,'68 - Summary Exhibit'!A:N,11,FALSE)</f>
        <v>0</v>
      </c>
      <c r="N34" s="4">
        <f>VLOOKUP(B34,'68 - Summary Exhibit'!A:N,12,FALSE)</f>
        <v>2913092</v>
      </c>
      <c r="O34" s="4">
        <f>VLOOKUP(B34,'68 - Summary Exhibit'!A:N,13,FALSE)</f>
        <v>298800</v>
      </c>
      <c r="P34" s="4">
        <f t="shared" si="0"/>
        <v>3211892</v>
      </c>
      <c r="Q34" s="4">
        <f>VLOOKUP(B34,'68- Deferred Amortization'!A:G,3,FALSE)</f>
        <v>1077079.9667607434</v>
      </c>
      <c r="R34" s="4">
        <f>VLOOKUP(B34,'68- Deferred Amortization'!A:G,4,FALSE)</f>
        <v>2317081.053500507</v>
      </c>
      <c r="S34" s="4">
        <f>VLOOKUP(B34,'68- Deferred Amortization'!A:G,5,FALSE)</f>
        <v>-44969.476199999997</v>
      </c>
      <c r="T34" s="4">
        <f>VLOOKUP(B34,'68- Deferred Amortization'!A:G,6,FALSE)</f>
        <v>-186128.7659</v>
      </c>
      <c r="U34" s="4">
        <f>VLOOKUP(B34,'68- Deferred Amortization'!A:G,7,FALSE)</f>
        <v>0</v>
      </c>
      <c r="V34" s="4">
        <f t="shared" si="1"/>
        <v>-1</v>
      </c>
      <c r="W34" s="4">
        <f t="shared" si="2"/>
        <v>-1</v>
      </c>
      <c r="X34">
        <v>2</v>
      </c>
      <c r="AC34" s="6">
        <v>11528676</v>
      </c>
      <c r="AD34" s="6">
        <v>939860</v>
      </c>
      <c r="AE34" s="6">
        <v>3210735</v>
      </c>
      <c r="AF34" s="6">
        <v>404872</v>
      </c>
      <c r="AG34" s="4">
        <v>626597</v>
      </c>
      <c r="AH34" s="4">
        <v>85090</v>
      </c>
      <c r="AI34" s="4">
        <v>0</v>
      </c>
      <c r="AJ34" s="4">
        <v>0</v>
      </c>
      <c r="AK34" s="4">
        <v>0</v>
      </c>
      <c r="AM34" s="4">
        <f t="shared" si="3"/>
        <v>-121478</v>
      </c>
      <c r="AN34" s="4">
        <f t="shared" si="4"/>
        <v>0</v>
      </c>
      <c r="AO34" s="6">
        <f t="shared" si="5"/>
        <v>10430</v>
      </c>
      <c r="AP34" s="4">
        <f t="shared" si="6"/>
        <v>-53918</v>
      </c>
      <c r="AQ34" s="4">
        <f t="shared" si="7"/>
        <v>-404872</v>
      </c>
      <c r="AR34" s="4">
        <f t="shared" si="8"/>
        <v>0</v>
      </c>
      <c r="AS34" s="4">
        <f t="shared" si="9"/>
        <v>-983646</v>
      </c>
      <c r="AT34" s="4">
        <f t="shared" si="10"/>
        <v>-1471910</v>
      </c>
      <c r="AU34" s="4">
        <f t="shared" si="11"/>
        <v>0</v>
      </c>
    </row>
    <row r="35" spans="1:47" x14ac:dyDescent="0.25">
      <c r="A35" t="s">
        <v>191</v>
      </c>
      <c r="B35">
        <v>36705</v>
      </c>
      <c r="C35" s="4">
        <f>VLOOKUP(B35,'ER Contributions'!A:D,4,FALSE)</f>
        <v>2976333.56</v>
      </c>
      <c r="D35" s="5">
        <f>VLOOKUP(B35,'ER Contributions'!A:D,3,FALSE)</f>
        <v>9.0289999999999999E-4</v>
      </c>
      <c r="E35" s="6">
        <f>VLOOKUP(B35,'68 - Summary Exhibit'!A:N,3,FALSE)</f>
        <v>13377979</v>
      </c>
      <c r="F35" s="6">
        <f>VLOOKUP(B35,'68 - Summary Exhibit'!A:N,4,FALSE)</f>
        <v>1205588</v>
      </c>
      <c r="G35" s="6">
        <f>VLOOKUP(B35,'68 - Summary Exhibit'!A:N,5,FALSE)</f>
        <v>2205965</v>
      </c>
      <c r="H35" s="6">
        <f>VLOOKUP(B35,'68 - Summary Exhibit'!A:N,6,FALSE)</f>
        <v>0</v>
      </c>
      <c r="I35" s="4">
        <f>VLOOKUP(B35,'68 - Summary Exhibit'!A:N,7,FALSE)</f>
        <v>232250</v>
      </c>
      <c r="J35" s="4">
        <f>VLOOKUP(B35,'68 - Summary Exhibit'!A:N,8,FALSE)</f>
        <v>39547</v>
      </c>
      <c r="K35" s="4">
        <f>VLOOKUP(B35,'68 - Summary Exhibit'!A:N,9,FALSE)</f>
        <v>0</v>
      </c>
      <c r="L35" s="4">
        <f>VLOOKUP(B35,'68 - Summary Exhibit'!A:N,10,FALSE)</f>
        <v>0</v>
      </c>
      <c r="M35" s="4">
        <f>VLOOKUP(B35,'68 - Summary Exhibit'!A:N,11,FALSE)</f>
        <v>837404</v>
      </c>
      <c r="N35" s="4">
        <f>VLOOKUP(B35,'68 - Summary Exhibit'!A:N,12,FALSE)</f>
        <v>3695702</v>
      </c>
      <c r="O35" s="4">
        <f>VLOOKUP(B35,'68 - Summary Exhibit'!A:N,13,FALSE)</f>
        <v>-311133</v>
      </c>
      <c r="P35" s="4">
        <f t="shared" ref="P35:P66" si="12">N35+O35</f>
        <v>3384569</v>
      </c>
      <c r="Q35" s="4">
        <f>VLOOKUP(B35,'68- Deferred Amortization'!A:G,3,FALSE)</f>
        <v>823063.3056964064</v>
      </c>
      <c r="R35" s="4">
        <f>VLOOKUP(B35,'68- Deferred Amortization'!A:G,4,FALSE)</f>
        <v>2236972.4615217098</v>
      </c>
      <c r="S35" s="4">
        <f>VLOOKUP(B35,'68- Deferred Amortization'!A:G,5,FALSE)</f>
        <v>-57050.6394</v>
      </c>
      <c r="T35" s="4">
        <f>VLOOKUP(B35,'68- Deferred Amortization'!A:G,6,FALSE)</f>
        <v>-236132.72829999999</v>
      </c>
      <c r="U35" s="4">
        <f>VLOOKUP(B35,'68- Deferred Amortization'!A:G,7,FALSE)</f>
        <v>0</v>
      </c>
      <c r="V35" s="4">
        <f t="shared" si="1"/>
        <v>0</v>
      </c>
      <c r="W35" s="4">
        <f t="shared" si="2"/>
        <v>0</v>
      </c>
      <c r="X35">
        <v>2</v>
      </c>
      <c r="AC35" s="6">
        <v>15319885</v>
      </c>
      <c r="AD35" s="6">
        <v>1248933</v>
      </c>
      <c r="AE35" s="6">
        <v>4266587</v>
      </c>
      <c r="AF35" s="6">
        <v>538014</v>
      </c>
      <c r="AG35" s="4">
        <v>464500</v>
      </c>
      <c r="AH35" s="4">
        <v>113072</v>
      </c>
      <c r="AI35" s="4">
        <v>0</v>
      </c>
      <c r="AJ35" s="4">
        <v>0</v>
      </c>
      <c r="AK35" s="4">
        <v>1287969</v>
      </c>
      <c r="AM35" s="4">
        <f t="shared" si="3"/>
        <v>-232250</v>
      </c>
      <c r="AN35" s="4">
        <f t="shared" si="4"/>
        <v>-450565</v>
      </c>
      <c r="AO35" s="6">
        <f t="shared" si="5"/>
        <v>-43345</v>
      </c>
      <c r="AP35" s="4">
        <f t="shared" si="6"/>
        <v>-73525</v>
      </c>
      <c r="AQ35" s="4">
        <f t="shared" si="7"/>
        <v>-538014</v>
      </c>
      <c r="AR35" s="4">
        <f t="shared" si="8"/>
        <v>0</v>
      </c>
      <c r="AS35" s="4">
        <f t="shared" si="9"/>
        <v>-1941906</v>
      </c>
      <c r="AT35" s="4">
        <f t="shared" si="10"/>
        <v>-2060622</v>
      </c>
      <c r="AU35" s="4">
        <f t="shared" si="11"/>
        <v>0</v>
      </c>
    </row>
    <row r="36" spans="1:47" x14ac:dyDescent="0.25">
      <c r="A36" t="s">
        <v>192</v>
      </c>
      <c r="B36">
        <v>37005</v>
      </c>
      <c r="C36" s="4">
        <f>VLOOKUP(B36,'ER Contributions'!A:D,4,FALSE)</f>
        <v>2022956.49</v>
      </c>
      <c r="D36" s="5">
        <f>VLOOKUP(B36,'ER Contributions'!A:D,3,FALSE)</f>
        <v>6.1109999999999995E-4</v>
      </c>
      <c r="E36" s="6">
        <f>VLOOKUP(B36,'68 - Summary Exhibit'!A:N,3,FALSE)</f>
        <v>9054472</v>
      </c>
      <c r="F36" s="6">
        <f>VLOOKUP(B36,'68 - Summary Exhibit'!A:N,4,FALSE)</f>
        <v>815965</v>
      </c>
      <c r="G36" s="6">
        <f>VLOOKUP(B36,'68 - Summary Exhibit'!A:N,5,FALSE)</f>
        <v>1493040</v>
      </c>
      <c r="H36" s="6">
        <f>VLOOKUP(B36,'68 - Summary Exhibit'!A:N,6,FALSE)</f>
        <v>0</v>
      </c>
      <c r="I36" s="4">
        <f>VLOOKUP(B36,'68 - Summary Exhibit'!A:N,7,FALSE)</f>
        <v>277217</v>
      </c>
      <c r="J36" s="4">
        <f>VLOOKUP(B36,'68 - Summary Exhibit'!A:N,8,FALSE)</f>
        <v>26766</v>
      </c>
      <c r="K36" s="4">
        <f>VLOOKUP(B36,'68 - Summary Exhibit'!A:N,9,FALSE)</f>
        <v>0</v>
      </c>
      <c r="L36" s="4">
        <f>VLOOKUP(B36,'68 - Summary Exhibit'!A:N,10,FALSE)</f>
        <v>0</v>
      </c>
      <c r="M36" s="4">
        <f>VLOOKUP(B36,'68 - Summary Exhibit'!A:N,11,FALSE)</f>
        <v>0</v>
      </c>
      <c r="N36" s="4">
        <f>VLOOKUP(B36,'68 - Summary Exhibit'!A:N,12,FALSE)</f>
        <v>2501322</v>
      </c>
      <c r="O36" s="4">
        <f>VLOOKUP(B36,'68 - Summary Exhibit'!A:N,13,FALSE)</f>
        <v>259223</v>
      </c>
      <c r="P36" s="4">
        <f t="shared" si="12"/>
        <v>2760545</v>
      </c>
      <c r="Q36" s="4">
        <f>VLOOKUP(B36,'68- Deferred Amortization'!A:G,3,FALSE)</f>
        <v>853625.65103296575</v>
      </c>
      <c r="R36" s="4">
        <f>VLOOKUP(B36,'68- Deferred Amortization'!A:G,4,FALSE)</f>
        <v>1904262.2522955216</v>
      </c>
      <c r="S36" s="4">
        <f>VLOOKUP(B36,'68- Deferred Amortization'!A:G,5,FALSE)</f>
        <v>-38612.964599999999</v>
      </c>
      <c r="T36" s="4">
        <f>VLOOKUP(B36,'68- Deferred Amortization'!A:G,6,FALSE)</f>
        <v>-159819.14969999998</v>
      </c>
      <c r="U36" s="4">
        <f>VLOOKUP(B36,'68- Deferred Amortization'!A:G,7,FALSE)</f>
        <v>0</v>
      </c>
      <c r="V36" s="4">
        <f t="shared" ref="V36:V67" si="13">ROUND(((F36-AD36)+(G36-AE36)+(H36-AF36)+(I36-AG36)+(AI36-K36)+P36-(E36-AC36)-(J36-AH36)-(M36-AK36)-C36),0)</f>
        <v>0</v>
      </c>
      <c r="W36" s="4">
        <f t="shared" ref="W36:W67" si="14">ROUND((F36+G36+H36+I36-J36-K36-L36-M36-Q36-R36-S36-T36-U36),0)</f>
        <v>0</v>
      </c>
      <c r="X36">
        <v>2</v>
      </c>
      <c r="AC36" s="6">
        <v>10163241</v>
      </c>
      <c r="AD36" s="6">
        <v>828545</v>
      </c>
      <c r="AE36" s="6">
        <v>2830462</v>
      </c>
      <c r="AF36" s="6">
        <v>356920</v>
      </c>
      <c r="AG36" s="4">
        <v>464899</v>
      </c>
      <c r="AH36" s="4">
        <v>75012</v>
      </c>
      <c r="AI36" s="4">
        <v>0</v>
      </c>
      <c r="AJ36" s="4">
        <v>0</v>
      </c>
      <c r="AK36" s="4">
        <v>0</v>
      </c>
      <c r="AM36" s="4">
        <f t="shared" ref="AM36:AM67" si="15">I36-AG36</f>
        <v>-187682</v>
      </c>
      <c r="AN36" s="4">
        <f t="shared" ref="AN36:AN67" si="16">M36-AK36</f>
        <v>0</v>
      </c>
      <c r="AO36" s="6">
        <f t="shared" ref="AO36:AO67" si="17">F36-AD36</f>
        <v>-12580</v>
      </c>
      <c r="AP36" s="4">
        <f t="shared" ref="AP36:AP67" si="18">J36-AH36</f>
        <v>-48246</v>
      </c>
      <c r="AQ36" s="4">
        <f t="shared" ref="AQ36:AQ67" si="19">H36-AF36</f>
        <v>-356920</v>
      </c>
      <c r="AR36" s="4">
        <f t="shared" ref="AR36:AR67" si="20">L36-AJ36</f>
        <v>0</v>
      </c>
      <c r="AS36" s="4">
        <f t="shared" ref="AS36:AS67" si="21">E36-AC36</f>
        <v>-1108769</v>
      </c>
      <c r="AT36" s="4">
        <f t="shared" ref="AT36:AT67" si="22">SUM(G36-AE36)</f>
        <v>-1337422</v>
      </c>
      <c r="AU36" s="4">
        <f t="shared" ref="AU36:AU67" si="23">SUM(K36-AI36)</f>
        <v>0</v>
      </c>
    </row>
    <row r="37" spans="1:47" x14ac:dyDescent="0.25">
      <c r="A37" t="s">
        <v>193</v>
      </c>
      <c r="B37">
        <v>32505</v>
      </c>
      <c r="C37" s="4">
        <f>VLOOKUP(B37,'ER Contributions'!A:D,4,FALSE)</f>
        <v>2644022.8900000006</v>
      </c>
      <c r="D37" s="5">
        <f>VLOOKUP(B37,'ER Contributions'!A:D,3,FALSE)</f>
        <v>7.8430000000000004E-4</v>
      </c>
      <c r="E37" s="6">
        <f>VLOOKUP(B37,'68 - Summary Exhibit'!A:N,3,FALSE)</f>
        <v>11620721</v>
      </c>
      <c r="F37" s="6">
        <f>VLOOKUP(B37,'68 - Summary Exhibit'!A:N,4,FALSE)</f>
        <v>1047229</v>
      </c>
      <c r="G37" s="6">
        <f>VLOOKUP(B37,'68 - Summary Exhibit'!A:N,5,FALSE)</f>
        <v>1916202</v>
      </c>
      <c r="H37" s="6">
        <f>VLOOKUP(B37,'68 - Summary Exhibit'!A:N,6,FALSE)</f>
        <v>0</v>
      </c>
      <c r="I37" s="4">
        <f>VLOOKUP(B37,'68 - Summary Exhibit'!A:N,7,FALSE)</f>
        <v>277692</v>
      </c>
      <c r="J37" s="4">
        <f>VLOOKUP(B37,'68 - Summary Exhibit'!A:N,8,FALSE)</f>
        <v>34352</v>
      </c>
      <c r="K37" s="4">
        <f>VLOOKUP(B37,'68 - Summary Exhibit'!A:N,9,FALSE)</f>
        <v>0</v>
      </c>
      <c r="L37" s="4">
        <f>VLOOKUP(B37,'68 - Summary Exhibit'!A:N,10,FALSE)</f>
        <v>0</v>
      </c>
      <c r="M37" s="4">
        <f>VLOOKUP(B37,'68 - Summary Exhibit'!A:N,11,FALSE)</f>
        <v>0</v>
      </c>
      <c r="N37" s="4">
        <f>VLOOKUP(B37,'68 - Summary Exhibit'!A:N,12,FALSE)</f>
        <v>3210254</v>
      </c>
      <c r="O37" s="4">
        <f>VLOOKUP(B37,'68 - Summary Exhibit'!A:N,13,FALSE)</f>
        <v>211481</v>
      </c>
      <c r="P37" s="4">
        <f t="shared" si="12"/>
        <v>3421735</v>
      </c>
      <c r="Q37" s="4">
        <f>VLOOKUP(B37,'68- Deferred Amortization'!A:G,3,FALSE)</f>
        <v>1026555.1419630495</v>
      </c>
      <c r="R37" s="4">
        <f>VLOOKUP(B37,'68- Deferred Amortization'!A:G,4,FALSE)</f>
        <v>2434887.7003815542</v>
      </c>
      <c r="S37" s="4">
        <f>VLOOKUP(B37,'68- Deferred Amortization'!A:G,5,FALSE)</f>
        <v>-49556.779800000004</v>
      </c>
      <c r="T37" s="4">
        <f>VLOOKUP(B37,'68- Deferred Amortization'!A:G,6,FALSE)</f>
        <v>-205115.62610000002</v>
      </c>
      <c r="U37" s="4">
        <f>VLOOKUP(B37,'68- Deferred Amortization'!A:G,7,FALSE)</f>
        <v>0</v>
      </c>
      <c r="V37" s="4">
        <f t="shared" si="13"/>
        <v>-1</v>
      </c>
      <c r="W37" s="4">
        <f t="shared" si="14"/>
        <v>1</v>
      </c>
      <c r="X37">
        <v>2</v>
      </c>
      <c r="AC37" s="6">
        <v>12839094</v>
      </c>
      <c r="AD37" s="6">
        <v>1046690</v>
      </c>
      <c r="AE37" s="6">
        <v>3575687</v>
      </c>
      <c r="AF37" s="6">
        <v>450892</v>
      </c>
      <c r="AG37" s="4">
        <v>224350</v>
      </c>
      <c r="AH37" s="4">
        <v>94762</v>
      </c>
      <c r="AI37" s="4">
        <v>0</v>
      </c>
      <c r="AJ37" s="4">
        <v>0</v>
      </c>
      <c r="AK37" s="4">
        <v>0</v>
      </c>
      <c r="AM37" s="4">
        <f t="shared" si="15"/>
        <v>53342</v>
      </c>
      <c r="AN37" s="4">
        <f t="shared" si="16"/>
        <v>0</v>
      </c>
      <c r="AO37" s="6">
        <f t="shared" si="17"/>
        <v>539</v>
      </c>
      <c r="AP37" s="4">
        <f t="shared" si="18"/>
        <v>-60410</v>
      </c>
      <c r="AQ37" s="4">
        <f t="shared" si="19"/>
        <v>-450892</v>
      </c>
      <c r="AR37" s="4">
        <f t="shared" si="20"/>
        <v>0</v>
      </c>
      <c r="AS37" s="4">
        <f t="shared" si="21"/>
        <v>-1218373</v>
      </c>
      <c r="AT37" s="4">
        <f t="shared" si="22"/>
        <v>-1659485</v>
      </c>
      <c r="AU37" s="4">
        <f t="shared" si="23"/>
        <v>0</v>
      </c>
    </row>
    <row r="38" spans="1:47" x14ac:dyDescent="0.25">
      <c r="A38" t="s">
        <v>194</v>
      </c>
      <c r="B38">
        <v>32905</v>
      </c>
      <c r="C38" s="4">
        <f>VLOOKUP(B38,'ER Contributions'!A:D,4,FALSE)</f>
        <v>3011761.8799999994</v>
      </c>
      <c r="D38" s="5">
        <f>VLOOKUP(B38,'ER Contributions'!A:D,3,FALSE)</f>
        <v>8.8239999999999998E-4</v>
      </c>
      <c r="E38" s="6">
        <f>VLOOKUP(B38,'68 - Summary Exhibit'!A:N,3,FALSE)</f>
        <v>13074237</v>
      </c>
      <c r="F38" s="6">
        <f>VLOOKUP(B38,'68 - Summary Exhibit'!A:N,4,FALSE)</f>
        <v>1178216</v>
      </c>
      <c r="G38" s="6">
        <f>VLOOKUP(B38,'68 - Summary Exhibit'!A:N,5,FALSE)</f>
        <v>2155880</v>
      </c>
      <c r="H38" s="6">
        <f>VLOOKUP(B38,'68 - Summary Exhibit'!A:N,6,FALSE)</f>
        <v>0</v>
      </c>
      <c r="I38" s="4">
        <f>VLOOKUP(B38,'68 - Summary Exhibit'!A:N,7,FALSE)</f>
        <v>242244</v>
      </c>
      <c r="J38" s="4">
        <f>VLOOKUP(B38,'68 - Summary Exhibit'!A:N,8,FALSE)</f>
        <v>38649</v>
      </c>
      <c r="K38" s="4">
        <f>VLOOKUP(B38,'68 - Summary Exhibit'!A:N,9,FALSE)</f>
        <v>0</v>
      </c>
      <c r="L38" s="4">
        <f>VLOOKUP(B38,'68 - Summary Exhibit'!A:N,10,FALSE)</f>
        <v>0</v>
      </c>
      <c r="M38" s="4">
        <f>VLOOKUP(B38,'68 - Summary Exhibit'!A:N,11,FALSE)</f>
        <v>0</v>
      </c>
      <c r="N38" s="4">
        <f>VLOOKUP(B38,'68 - Summary Exhibit'!A:N,12,FALSE)</f>
        <v>3611792</v>
      </c>
      <c r="O38" s="4">
        <f>VLOOKUP(B38,'68 - Summary Exhibit'!A:N,13,FALSE)</f>
        <v>162856</v>
      </c>
      <c r="P38" s="4">
        <f t="shared" si="12"/>
        <v>3774648</v>
      </c>
      <c r="Q38" s="4">
        <f>VLOOKUP(B38,'68- Deferred Amortization'!A:G,3,FALSE)</f>
        <v>1116283.062911673</v>
      </c>
      <c r="R38" s="4">
        <f>VLOOKUP(B38,'68- Deferred Amortization'!A:G,4,FALSE)</f>
        <v>2707934.082843706</v>
      </c>
      <c r="S38" s="4">
        <f>VLOOKUP(B38,'68- Deferred Amortization'!A:G,5,FALSE)</f>
        <v>-55755.326399999998</v>
      </c>
      <c r="T38" s="4">
        <f>VLOOKUP(B38,'68- Deferred Amortization'!A:G,6,FALSE)</f>
        <v>-230771.42480000001</v>
      </c>
      <c r="U38" s="4">
        <f>VLOOKUP(B38,'68- Deferred Amortization'!A:G,7,FALSE)</f>
        <v>0</v>
      </c>
      <c r="V38" s="4">
        <f t="shared" si="13"/>
        <v>0</v>
      </c>
      <c r="W38" s="4">
        <f t="shared" si="14"/>
        <v>1</v>
      </c>
      <c r="X38">
        <v>2</v>
      </c>
      <c r="AC38" s="6">
        <v>14499624</v>
      </c>
      <c r="AD38" s="6">
        <v>1182062</v>
      </c>
      <c r="AE38" s="6">
        <v>4038144</v>
      </c>
      <c r="AF38" s="6">
        <v>509208</v>
      </c>
      <c r="AG38" s="4">
        <v>103567</v>
      </c>
      <c r="AH38" s="4">
        <v>107017</v>
      </c>
      <c r="AI38" s="4">
        <v>0</v>
      </c>
      <c r="AJ38" s="4">
        <v>0</v>
      </c>
      <c r="AK38" s="4">
        <v>0</v>
      </c>
      <c r="AM38" s="4">
        <f t="shared" si="15"/>
        <v>138677</v>
      </c>
      <c r="AN38" s="4">
        <f t="shared" si="16"/>
        <v>0</v>
      </c>
      <c r="AO38" s="6">
        <f t="shared" si="17"/>
        <v>-3846</v>
      </c>
      <c r="AP38" s="4">
        <f t="shared" si="18"/>
        <v>-68368</v>
      </c>
      <c r="AQ38" s="4">
        <f t="shared" si="19"/>
        <v>-509208</v>
      </c>
      <c r="AR38" s="4">
        <f t="shared" si="20"/>
        <v>0</v>
      </c>
      <c r="AS38" s="4">
        <f t="shared" si="21"/>
        <v>-1425387</v>
      </c>
      <c r="AT38" s="4">
        <f t="shared" si="22"/>
        <v>-1882264</v>
      </c>
      <c r="AU38" s="4">
        <f t="shared" si="23"/>
        <v>0</v>
      </c>
    </row>
    <row r="39" spans="1:47" x14ac:dyDescent="0.25">
      <c r="A39" t="s">
        <v>195</v>
      </c>
      <c r="B39">
        <v>33205</v>
      </c>
      <c r="C39" s="4">
        <f>VLOOKUP(B39,'ER Contributions'!A:D,4,FALSE)</f>
        <v>4466858.9599999981</v>
      </c>
      <c r="D39" s="5">
        <f>VLOOKUP(B39,'ER Contributions'!A:D,3,FALSE)</f>
        <v>1.3887999999999999E-3</v>
      </c>
      <c r="E39" s="6">
        <f>VLOOKUP(B39,'68 - Summary Exhibit'!A:N,3,FALSE)</f>
        <v>20577402</v>
      </c>
      <c r="F39" s="6">
        <f>VLOOKUP(B39,'68 - Summary Exhibit'!A:N,4,FALSE)</f>
        <v>1854381</v>
      </c>
      <c r="G39" s="6">
        <f>VLOOKUP(B39,'68 - Summary Exhibit'!A:N,5,FALSE)</f>
        <v>3393116</v>
      </c>
      <c r="H39" s="6">
        <f>VLOOKUP(B39,'68 - Summary Exhibit'!A:N,6,FALSE)</f>
        <v>0</v>
      </c>
      <c r="I39" s="4">
        <f>VLOOKUP(B39,'68 - Summary Exhibit'!A:N,7,FALSE)</f>
        <v>804602</v>
      </c>
      <c r="J39" s="4">
        <f>VLOOKUP(B39,'68 - Summary Exhibit'!A:N,8,FALSE)</f>
        <v>60829</v>
      </c>
      <c r="K39" s="4">
        <f>VLOOKUP(B39,'68 - Summary Exhibit'!A:N,9,FALSE)</f>
        <v>0</v>
      </c>
      <c r="L39" s="4">
        <f>VLOOKUP(B39,'68 - Summary Exhibit'!A:N,10,FALSE)</f>
        <v>0</v>
      </c>
      <c r="M39" s="4">
        <f>VLOOKUP(B39,'68 - Summary Exhibit'!A:N,11,FALSE)</f>
        <v>0</v>
      </c>
      <c r="N39" s="4">
        <f>VLOOKUP(B39,'68 - Summary Exhibit'!A:N,12,FALSE)</f>
        <v>5684561</v>
      </c>
      <c r="O39" s="4">
        <f>VLOOKUP(B39,'68 - Summary Exhibit'!A:N,13,FALSE)</f>
        <v>576144</v>
      </c>
      <c r="P39" s="4">
        <f t="shared" si="12"/>
        <v>6260705</v>
      </c>
      <c r="Q39" s="4">
        <f>VLOOKUP(B39,'68- Deferred Amortization'!A:G,3,FALSE)</f>
        <v>1985255.9253995607</v>
      </c>
      <c r="R39" s="4">
        <f>VLOOKUP(B39,'68- Deferred Amortization'!A:G,4,FALSE)</f>
        <v>4456975.1401277715</v>
      </c>
      <c r="S39" s="4">
        <f>VLOOKUP(B39,'68- Deferred Amortization'!A:G,5,FALSE)</f>
        <v>-87752.716799999995</v>
      </c>
      <c r="T39" s="4">
        <f>VLOOKUP(B39,'68- Deferred Amortization'!A:G,6,FALSE)</f>
        <v>-363208.69759999996</v>
      </c>
      <c r="U39" s="4">
        <f>VLOOKUP(B39,'68- Deferred Amortization'!A:G,7,FALSE)</f>
        <v>0</v>
      </c>
      <c r="V39" s="4">
        <f t="shared" si="13"/>
        <v>1</v>
      </c>
      <c r="W39" s="4">
        <f t="shared" si="14"/>
        <v>0</v>
      </c>
      <c r="X39">
        <v>2</v>
      </c>
      <c r="AC39" s="6">
        <v>22033693</v>
      </c>
      <c r="AD39" s="6">
        <v>1796267</v>
      </c>
      <c r="AE39" s="6">
        <v>6136382</v>
      </c>
      <c r="AF39" s="6">
        <v>773794</v>
      </c>
      <c r="AG39" s="4">
        <v>697587</v>
      </c>
      <c r="AH39" s="4">
        <v>162624</v>
      </c>
      <c r="AI39" s="4">
        <v>0</v>
      </c>
      <c r="AJ39" s="4">
        <v>0</v>
      </c>
      <c r="AK39" s="4">
        <v>0</v>
      </c>
      <c r="AM39" s="4">
        <f t="shared" si="15"/>
        <v>107015</v>
      </c>
      <c r="AN39" s="4">
        <f t="shared" si="16"/>
        <v>0</v>
      </c>
      <c r="AO39" s="6">
        <f t="shared" si="17"/>
        <v>58114</v>
      </c>
      <c r="AP39" s="4">
        <f t="shared" si="18"/>
        <v>-101795</v>
      </c>
      <c r="AQ39" s="4">
        <f t="shared" si="19"/>
        <v>-773794</v>
      </c>
      <c r="AR39" s="4">
        <f t="shared" si="20"/>
        <v>0</v>
      </c>
      <c r="AS39" s="4">
        <f t="shared" si="21"/>
        <v>-1456291</v>
      </c>
      <c r="AT39" s="4">
        <f t="shared" si="22"/>
        <v>-2743266</v>
      </c>
      <c r="AU39" s="4">
        <f t="shared" si="23"/>
        <v>0</v>
      </c>
    </row>
    <row r="40" spans="1:47" x14ac:dyDescent="0.25">
      <c r="A40" t="s">
        <v>196</v>
      </c>
      <c r="B40">
        <v>33305</v>
      </c>
      <c r="C40" s="4">
        <f>VLOOKUP(B40,'ER Contributions'!A:D,4,FALSE)</f>
        <v>1631519.18</v>
      </c>
      <c r="D40" s="5">
        <f>VLOOKUP(B40,'ER Contributions'!A:D,3,FALSE)</f>
        <v>4.6900000000000002E-4</v>
      </c>
      <c r="E40" s="6">
        <f>VLOOKUP(B40,'68 - Summary Exhibit'!A:N,3,FALSE)</f>
        <v>6949022</v>
      </c>
      <c r="F40" s="6">
        <f>VLOOKUP(B40,'68 - Summary Exhibit'!A:N,4,FALSE)</f>
        <v>626228</v>
      </c>
      <c r="G40" s="6">
        <f>VLOOKUP(B40,'68 - Summary Exhibit'!A:N,5,FALSE)</f>
        <v>1145861</v>
      </c>
      <c r="H40" s="6">
        <f>VLOOKUP(B40,'68 - Summary Exhibit'!A:N,6,FALSE)</f>
        <v>0</v>
      </c>
      <c r="I40" s="4">
        <f>VLOOKUP(B40,'68 - Summary Exhibit'!A:N,7,FALSE)</f>
        <v>309354</v>
      </c>
      <c r="J40" s="4">
        <f>VLOOKUP(B40,'68 - Summary Exhibit'!A:N,8,FALSE)</f>
        <v>20542</v>
      </c>
      <c r="K40" s="4">
        <f>VLOOKUP(B40,'68 - Summary Exhibit'!A:N,9,FALSE)</f>
        <v>0</v>
      </c>
      <c r="L40" s="4">
        <f>VLOOKUP(B40,'68 - Summary Exhibit'!A:N,10,FALSE)</f>
        <v>0</v>
      </c>
      <c r="M40" s="4">
        <f>VLOOKUP(B40,'68 - Summary Exhibit'!A:N,11,FALSE)</f>
        <v>0</v>
      </c>
      <c r="N40" s="4">
        <f>VLOOKUP(B40,'68 - Summary Exhibit'!A:N,12,FALSE)</f>
        <v>1919685</v>
      </c>
      <c r="O40" s="4">
        <f>VLOOKUP(B40,'68 - Summary Exhibit'!A:N,13,FALSE)</f>
        <v>106631</v>
      </c>
      <c r="P40" s="4">
        <f t="shared" si="12"/>
        <v>2026316</v>
      </c>
      <c r="Q40" s="4">
        <f>VLOOKUP(B40,'68- Deferred Amortization'!A:G,3,FALSE)</f>
        <v>686596.72716654162</v>
      </c>
      <c r="R40" s="4">
        <f>VLOOKUP(B40,'68- Deferred Amortization'!A:G,4,FALSE)</f>
        <v>1526593.4168431882</v>
      </c>
      <c r="S40" s="4">
        <f>VLOOKUP(B40,'68- Deferred Amortization'!A:G,5,FALSE)</f>
        <v>-29634.234</v>
      </c>
      <c r="T40" s="4">
        <f>VLOOKUP(B40,'68- Deferred Amortization'!A:G,6,FALSE)</f>
        <v>-122656.163</v>
      </c>
      <c r="U40" s="4">
        <f>VLOOKUP(B40,'68- Deferred Amortization'!A:G,7,FALSE)</f>
        <v>0</v>
      </c>
      <c r="V40" s="4">
        <f t="shared" si="13"/>
        <v>1</v>
      </c>
      <c r="W40" s="4">
        <f t="shared" si="14"/>
        <v>1</v>
      </c>
      <c r="X40">
        <v>2</v>
      </c>
      <c r="AC40" s="6">
        <v>7770811</v>
      </c>
      <c r="AD40" s="6">
        <v>633505</v>
      </c>
      <c r="AE40" s="6">
        <v>2164170</v>
      </c>
      <c r="AF40" s="6">
        <v>272901</v>
      </c>
      <c r="AG40" s="4">
        <v>319850</v>
      </c>
      <c r="AH40" s="4">
        <v>57354</v>
      </c>
      <c r="AI40" s="4">
        <v>0</v>
      </c>
      <c r="AJ40" s="4">
        <v>0</v>
      </c>
      <c r="AK40" s="4">
        <v>55586</v>
      </c>
      <c r="AM40" s="4">
        <f t="shared" si="15"/>
        <v>-10496</v>
      </c>
      <c r="AN40" s="4">
        <f t="shared" si="16"/>
        <v>-55586</v>
      </c>
      <c r="AO40" s="6">
        <f t="shared" si="17"/>
        <v>-7277</v>
      </c>
      <c r="AP40" s="4">
        <f t="shared" si="18"/>
        <v>-36812</v>
      </c>
      <c r="AQ40" s="4">
        <f t="shared" si="19"/>
        <v>-272901</v>
      </c>
      <c r="AR40" s="4">
        <f t="shared" si="20"/>
        <v>0</v>
      </c>
      <c r="AS40" s="4">
        <f t="shared" si="21"/>
        <v>-821789</v>
      </c>
      <c r="AT40" s="4">
        <f t="shared" si="22"/>
        <v>-1018309</v>
      </c>
      <c r="AU40" s="4">
        <f t="shared" si="23"/>
        <v>0</v>
      </c>
    </row>
    <row r="41" spans="1:47" x14ac:dyDescent="0.25">
      <c r="A41" t="s">
        <v>197</v>
      </c>
      <c r="B41">
        <v>32605</v>
      </c>
      <c r="C41" s="4">
        <f>VLOOKUP(B41,'ER Contributions'!A:D,4,FALSE)</f>
        <v>9688655.9100000001</v>
      </c>
      <c r="D41" s="5">
        <f>VLOOKUP(B41,'ER Contributions'!A:D,3,FALSE)</f>
        <v>2.9196000000000001E-3</v>
      </c>
      <c r="E41" s="6">
        <f>VLOOKUP(B41,'68 - Summary Exhibit'!A:N,3,FALSE)</f>
        <v>43258773</v>
      </c>
      <c r="F41" s="6">
        <f>VLOOKUP(B41,'68 - Summary Exhibit'!A:N,4,FALSE)</f>
        <v>3898367</v>
      </c>
      <c r="G41" s="6">
        <f>VLOOKUP(B41,'68 - Summary Exhibit'!A:N,5,FALSE)</f>
        <v>7133167</v>
      </c>
      <c r="H41" s="6">
        <f>VLOOKUP(B41,'68 - Summary Exhibit'!A:N,6,FALSE)</f>
        <v>0</v>
      </c>
      <c r="I41" s="4">
        <f>VLOOKUP(B41,'68 - Summary Exhibit'!A:N,7,FALSE)</f>
        <v>1406602</v>
      </c>
      <c r="J41" s="4">
        <f>VLOOKUP(B41,'68 - Summary Exhibit'!A:N,8,FALSE)</f>
        <v>127878</v>
      </c>
      <c r="K41" s="4">
        <f>VLOOKUP(B41,'68 - Summary Exhibit'!A:N,9,FALSE)</f>
        <v>0</v>
      </c>
      <c r="L41" s="4">
        <f>VLOOKUP(B41,'68 - Summary Exhibit'!A:N,10,FALSE)</f>
        <v>0</v>
      </c>
      <c r="M41" s="4">
        <f>VLOOKUP(B41,'68 - Summary Exhibit'!A:N,11,FALSE)</f>
        <v>950318</v>
      </c>
      <c r="N41" s="4">
        <f>VLOOKUP(B41,'68 - Summary Exhibit'!A:N,12,FALSE)</f>
        <v>11950349</v>
      </c>
      <c r="O41" s="4">
        <f>VLOOKUP(B41,'68 - Summary Exhibit'!A:N,13,FALSE)</f>
        <v>789459</v>
      </c>
      <c r="P41" s="4">
        <f t="shared" si="12"/>
        <v>12739808</v>
      </c>
      <c r="Q41" s="4">
        <f>VLOOKUP(B41,'68- Deferred Amortization'!A:G,3,FALSE)</f>
        <v>3571959.7562974994</v>
      </c>
      <c r="R41" s="4">
        <f>VLOOKUP(B41,'68- Deferred Amortization'!A:G,4,FALSE)</f>
        <v>8736011.0491531994</v>
      </c>
      <c r="S41" s="4">
        <f>VLOOKUP(B41,'68- Deferred Amortization'!A:G,5,FALSE)</f>
        <v>-184477.8456</v>
      </c>
      <c r="T41" s="4">
        <f>VLOOKUP(B41,'68- Deferred Amortization'!A:G,6,FALSE)</f>
        <v>-763554.22920000006</v>
      </c>
      <c r="U41" s="4">
        <f>VLOOKUP(B41,'68- Deferred Amortization'!A:G,7,FALSE)</f>
        <v>0</v>
      </c>
      <c r="V41" s="4">
        <f t="shared" si="13"/>
        <v>1</v>
      </c>
      <c r="W41" s="4">
        <f t="shared" si="14"/>
        <v>1</v>
      </c>
      <c r="X41">
        <v>2</v>
      </c>
      <c r="AC41" s="6">
        <v>51481416</v>
      </c>
      <c r="AD41" s="6">
        <v>4196953</v>
      </c>
      <c r="AE41" s="6">
        <v>14337571</v>
      </c>
      <c r="AF41" s="6">
        <v>1807959</v>
      </c>
      <c r="AG41" s="4">
        <v>2671220</v>
      </c>
      <c r="AH41" s="4">
        <v>379969</v>
      </c>
      <c r="AI41" s="4">
        <v>0</v>
      </c>
      <c r="AJ41" s="4">
        <v>0</v>
      </c>
      <c r="AK41" s="4">
        <v>0</v>
      </c>
      <c r="AM41" s="4">
        <f t="shared" si="15"/>
        <v>-1264618</v>
      </c>
      <c r="AN41" s="4">
        <f t="shared" si="16"/>
        <v>950318</v>
      </c>
      <c r="AO41" s="6">
        <f t="shared" si="17"/>
        <v>-298586</v>
      </c>
      <c r="AP41" s="4">
        <f t="shared" si="18"/>
        <v>-252091</v>
      </c>
      <c r="AQ41" s="4">
        <f t="shared" si="19"/>
        <v>-1807959</v>
      </c>
      <c r="AR41" s="4">
        <f t="shared" si="20"/>
        <v>0</v>
      </c>
      <c r="AS41" s="4">
        <f t="shared" si="21"/>
        <v>-8222643</v>
      </c>
      <c r="AT41" s="4">
        <f t="shared" si="22"/>
        <v>-7204404</v>
      </c>
      <c r="AU41" s="4">
        <f t="shared" si="23"/>
        <v>0</v>
      </c>
    </row>
    <row r="42" spans="1:47" x14ac:dyDescent="0.25">
      <c r="A42" t="s">
        <v>198</v>
      </c>
      <c r="B42">
        <v>33405</v>
      </c>
      <c r="C42" s="4">
        <f>VLOOKUP(B42,'ER Contributions'!A:D,4,FALSE)</f>
        <v>6603180.2200000016</v>
      </c>
      <c r="D42" s="5">
        <f>VLOOKUP(B42,'ER Contributions'!A:D,3,FALSE)</f>
        <v>2.0536999999999999E-3</v>
      </c>
      <c r="E42" s="6">
        <f>VLOOKUP(B42,'68 - Summary Exhibit'!A:N,3,FALSE)</f>
        <v>30429012</v>
      </c>
      <c r="F42" s="6">
        <f>VLOOKUP(B42,'68 - Summary Exhibit'!A:N,4,FALSE)</f>
        <v>2742182</v>
      </c>
      <c r="G42" s="6">
        <f>VLOOKUP(B42,'68 - Summary Exhibit'!A:N,5,FALSE)</f>
        <v>5017600</v>
      </c>
      <c r="H42" s="6">
        <f>VLOOKUP(B42,'68 - Summary Exhibit'!A:N,6,FALSE)</f>
        <v>0</v>
      </c>
      <c r="I42" s="4">
        <f>VLOOKUP(B42,'68 - Summary Exhibit'!A:N,7,FALSE)</f>
        <v>1346933</v>
      </c>
      <c r="J42" s="4">
        <f>VLOOKUP(B42,'68 - Summary Exhibit'!A:N,8,FALSE)</f>
        <v>89952</v>
      </c>
      <c r="K42" s="4">
        <f>VLOOKUP(B42,'68 - Summary Exhibit'!A:N,9,FALSE)</f>
        <v>0</v>
      </c>
      <c r="L42" s="4">
        <f>VLOOKUP(B42,'68 - Summary Exhibit'!A:N,10,FALSE)</f>
        <v>0</v>
      </c>
      <c r="M42" s="4">
        <f>VLOOKUP(B42,'68 - Summary Exhibit'!A:N,11,FALSE)</f>
        <v>86322</v>
      </c>
      <c r="N42" s="4">
        <f>VLOOKUP(B42,'68 - Summary Exhibit'!A:N,12,FALSE)</f>
        <v>8406094</v>
      </c>
      <c r="O42" s="4">
        <f>VLOOKUP(B42,'68 - Summary Exhibit'!A:N,13,FALSE)</f>
        <v>810672</v>
      </c>
      <c r="P42" s="4">
        <f t="shared" si="12"/>
        <v>9216766</v>
      </c>
      <c r="Q42" s="4">
        <f>VLOOKUP(B42,'68- Deferred Amortization'!A:G,3,FALSE)</f>
        <v>2883347.5196443484</v>
      </c>
      <c r="R42" s="4">
        <f>VLOOKUP(B42,'68- Deferred Amortization'!A:G,4,FALSE)</f>
        <v>6713956.7297221282</v>
      </c>
      <c r="S42" s="4">
        <f>VLOOKUP(B42,'68- Deferred Amortization'!A:G,5,FALSE)</f>
        <v>-129765.0882</v>
      </c>
      <c r="T42" s="4">
        <f>VLOOKUP(B42,'68- Deferred Amortization'!A:G,6,FALSE)</f>
        <v>-537097.99989999994</v>
      </c>
      <c r="U42" s="4">
        <f>VLOOKUP(B42,'68- Deferred Amortization'!A:G,7,FALSE)</f>
        <v>0</v>
      </c>
      <c r="V42" s="4">
        <f t="shared" si="13"/>
        <v>0</v>
      </c>
      <c r="W42" s="4">
        <f t="shared" si="14"/>
        <v>0</v>
      </c>
      <c r="X42">
        <v>2</v>
      </c>
      <c r="AC42" s="6">
        <v>31244963</v>
      </c>
      <c r="AD42" s="6">
        <v>2547204</v>
      </c>
      <c r="AE42" s="6">
        <v>8701720</v>
      </c>
      <c r="AF42" s="6">
        <v>1097282</v>
      </c>
      <c r="AG42" s="4">
        <v>417026</v>
      </c>
      <c r="AH42" s="4">
        <v>230610</v>
      </c>
      <c r="AI42" s="4">
        <v>0</v>
      </c>
      <c r="AJ42" s="4">
        <v>0</v>
      </c>
      <c r="AK42" s="4">
        <v>172644</v>
      </c>
      <c r="AM42" s="4">
        <f t="shared" si="15"/>
        <v>929907</v>
      </c>
      <c r="AN42" s="4">
        <f t="shared" si="16"/>
        <v>-86322</v>
      </c>
      <c r="AO42" s="6">
        <f t="shared" si="17"/>
        <v>194978</v>
      </c>
      <c r="AP42" s="4">
        <f t="shared" si="18"/>
        <v>-140658</v>
      </c>
      <c r="AQ42" s="4">
        <f t="shared" si="19"/>
        <v>-1097282</v>
      </c>
      <c r="AR42" s="4">
        <f t="shared" si="20"/>
        <v>0</v>
      </c>
      <c r="AS42" s="4">
        <f t="shared" si="21"/>
        <v>-815951</v>
      </c>
      <c r="AT42" s="4">
        <f t="shared" si="22"/>
        <v>-3684120</v>
      </c>
      <c r="AU42" s="4">
        <f t="shared" si="23"/>
        <v>0</v>
      </c>
    </row>
    <row r="43" spans="1:47" x14ac:dyDescent="0.25">
      <c r="A43" t="s">
        <v>199</v>
      </c>
      <c r="B43">
        <v>33605</v>
      </c>
      <c r="C43" s="4">
        <f>VLOOKUP(B43,'ER Contributions'!A:D,4,FALSE)</f>
        <v>4795249.9999999991</v>
      </c>
      <c r="D43" s="5">
        <f>VLOOKUP(B43,'ER Contributions'!A:D,3,FALSE)</f>
        <v>1.3465E-3</v>
      </c>
      <c r="E43" s="6">
        <f>VLOOKUP(B43,'68 - Summary Exhibit'!A:N,3,FALSE)</f>
        <v>19950657</v>
      </c>
      <c r="F43" s="6">
        <f>VLOOKUP(B43,'68 - Summary Exhibit'!A:N,4,FALSE)</f>
        <v>1797901</v>
      </c>
      <c r="G43" s="6">
        <f>VLOOKUP(B43,'68 - Summary Exhibit'!A:N,5,FALSE)</f>
        <v>3289769</v>
      </c>
      <c r="H43" s="6">
        <f>VLOOKUP(B43,'68 - Summary Exhibit'!A:N,6,FALSE)</f>
        <v>0</v>
      </c>
      <c r="I43" s="4">
        <f>VLOOKUP(B43,'68 - Summary Exhibit'!A:N,7,FALSE)</f>
        <v>1211582</v>
      </c>
      <c r="J43" s="4">
        <f>VLOOKUP(B43,'68 - Summary Exhibit'!A:N,8,FALSE)</f>
        <v>58977</v>
      </c>
      <c r="K43" s="4">
        <f>VLOOKUP(B43,'68 - Summary Exhibit'!A:N,9,FALSE)</f>
        <v>0</v>
      </c>
      <c r="L43" s="4">
        <f>VLOOKUP(B43,'68 - Summary Exhibit'!A:N,10,FALSE)</f>
        <v>0</v>
      </c>
      <c r="M43" s="4">
        <f>VLOOKUP(B43,'68 - Summary Exhibit'!A:N,11,FALSE)</f>
        <v>0</v>
      </c>
      <c r="N43" s="4">
        <f>VLOOKUP(B43,'68 - Summary Exhibit'!A:N,12,FALSE)</f>
        <v>5511421</v>
      </c>
      <c r="O43" s="4">
        <f>VLOOKUP(B43,'68 - Summary Exhibit'!A:N,13,FALSE)</f>
        <v>768934</v>
      </c>
      <c r="P43" s="4">
        <f t="shared" si="12"/>
        <v>6280355</v>
      </c>
      <c r="Q43" s="4">
        <f>VLOOKUP(B43,'68- Deferred Amortization'!A:G,3,FALSE)</f>
        <v>2151227.1566878837</v>
      </c>
      <c r="R43" s="4">
        <f>VLOOKUP(B43,'68- Deferred Amortization'!A:G,4,FALSE)</f>
        <v>4526273.7292666826</v>
      </c>
      <c r="S43" s="4">
        <f>VLOOKUP(B43,'68- Deferred Amortization'!A:G,5,FALSE)</f>
        <v>-85079.949000000008</v>
      </c>
      <c r="T43" s="4">
        <f>VLOOKUP(B43,'68- Deferred Amortization'!A:G,6,FALSE)</f>
        <v>-352146.10550000001</v>
      </c>
      <c r="U43" s="4">
        <f>VLOOKUP(B43,'68- Deferred Amortization'!A:G,7,FALSE)</f>
        <v>0</v>
      </c>
      <c r="V43" s="4">
        <f t="shared" si="13"/>
        <v>0</v>
      </c>
      <c r="W43" s="4">
        <f t="shared" si="14"/>
        <v>0</v>
      </c>
      <c r="X43">
        <v>2</v>
      </c>
      <c r="AC43" s="6">
        <v>21810288</v>
      </c>
      <c r="AD43" s="6">
        <v>1778054</v>
      </c>
      <c r="AE43" s="6">
        <v>6074164</v>
      </c>
      <c r="AF43" s="6">
        <v>765948</v>
      </c>
      <c r="AG43" s="4">
        <v>1127820</v>
      </c>
      <c r="AH43" s="4">
        <v>160975</v>
      </c>
      <c r="AI43" s="4">
        <v>0</v>
      </c>
      <c r="AJ43" s="4">
        <v>0</v>
      </c>
      <c r="AK43" s="4">
        <v>0</v>
      </c>
      <c r="AM43" s="4">
        <f t="shared" si="15"/>
        <v>83762</v>
      </c>
      <c r="AN43" s="4">
        <f t="shared" si="16"/>
        <v>0</v>
      </c>
      <c r="AO43" s="6">
        <f t="shared" si="17"/>
        <v>19847</v>
      </c>
      <c r="AP43" s="4">
        <f t="shared" si="18"/>
        <v>-101998</v>
      </c>
      <c r="AQ43" s="4">
        <f t="shared" si="19"/>
        <v>-765948</v>
      </c>
      <c r="AR43" s="4">
        <f t="shared" si="20"/>
        <v>0</v>
      </c>
      <c r="AS43" s="4">
        <f t="shared" si="21"/>
        <v>-1859631</v>
      </c>
      <c r="AT43" s="4">
        <f t="shared" si="22"/>
        <v>-2784395</v>
      </c>
      <c r="AU43" s="4">
        <f t="shared" si="23"/>
        <v>0</v>
      </c>
    </row>
    <row r="44" spans="1:47" x14ac:dyDescent="0.25">
      <c r="A44" t="s">
        <v>200</v>
      </c>
      <c r="B44">
        <v>34105</v>
      </c>
      <c r="C44" s="4">
        <f>VLOOKUP(B44,'ER Contributions'!A:D,4,FALSE)</f>
        <v>7933393.4500000011</v>
      </c>
      <c r="D44" s="5">
        <f>VLOOKUP(B44,'ER Contributions'!A:D,3,FALSE)</f>
        <v>2.1811000000000001E-3</v>
      </c>
      <c r="E44" s="6">
        <f>VLOOKUP(B44,'68 - Summary Exhibit'!A:N,3,FALSE)</f>
        <v>32316656</v>
      </c>
      <c r="F44" s="6">
        <f>VLOOKUP(B44,'68 - Summary Exhibit'!A:N,4,FALSE)</f>
        <v>2912292</v>
      </c>
      <c r="G44" s="6">
        <f>VLOOKUP(B44,'68 - Summary Exhibit'!A:N,5,FALSE)</f>
        <v>5328864</v>
      </c>
      <c r="H44" s="6">
        <f>VLOOKUP(B44,'68 - Summary Exhibit'!A:N,6,FALSE)</f>
        <v>0</v>
      </c>
      <c r="I44" s="4">
        <f>VLOOKUP(B44,'68 - Summary Exhibit'!A:N,7,FALSE)</f>
        <v>1285154</v>
      </c>
      <c r="J44" s="4">
        <f>VLOOKUP(B44,'68 - Summary Exhibit'!A:N,8,FALSE)</f>
        <v>95532</v>
      </c>
      <c r="K44" s="4">
        <f>VLOOKUP(B44,'68 - Summary Exhibit'!A:N,9,FALSE)</f>
        <v>0</v>
      </c>
      <c r="L44" s="4">
        <f>VLOOKUP(B44,'68 - Summary Exhibit'!A:N,10,FALSE)</f>
        <v>0</v>
      </c>
      <c r="M44" s="4">
        <f>VLOOKUP(B44,'68 - Summary Exhibit'!A:N,11,FALSE)</f>
        <v>65199</v>
      </c>
      <c r="N44" s="4">
        <f>VLOOKUP(B44,'68 - Summary Exhibit'!A:N,12,FALSE)</f>
        <v>8927561</v>
      </c>
      <c r="O44" s="4">
        <f>VLOOKUP(B44,'68 - Summary Exhibit'!A:N,13,FALSE)</f>
        <v>672748</v>
      </c>
      <c r="P44" s="4">
        <f t="shared" si="12"/>
        <v>9600309</v>
      </c>
      <c r="Q44" s="4">
        <f>VLOOKUP(B44,'68- Deferred Amortization'!A:G,3,FALSE)</f>
        <v>3016024.0076504601</v>
      </c>
      <c r="R44" s="4">
        <f>VLOOKUP(B44,'68- Deferred Amortization'!A:G,4,FALSE)</f>
        <v>7057785.199891312</v>
      </c>
      <c r="S44" s="4">
        <f>VLOOKUP(B44,'68- Deferred Amortization'!A:G,5,FALSE)</f>
        <v>-137814.9846</v>
      </c>
      <c r="T44" s="4">
        <f>VLOOKUP(B44,'68- Deferred Amortization'!A:G,6,FALSE)</f>
        <v>-570416.53969999996</v>
      </c>
      <c r="U44" s="4">
        <f>VLOOKUP(B44,'68- Deferred Amortization'!A:G,7,FALSE)</f>
        <v>0</v>
      </c>
      <c r="V44" s="4">
        <f t="shared" si="13"/>
        <v>4</v>
      </c>
      <c r="W44" s="4">
        <f t="shared" si="14"/>
        <v>1</v>
      </c>
      <c r="X44">
        <v>2</v>
      </c>
      <c r="AC44" s="6">
        <v>36259896</v>
      </c>
      <c r="AD44" s="6">
        <v>2956039</v>
      </c>
      <c r="AE44" s="6">
        <v>10098378</v>
      </c>
      <c r="AF44" s="6">
        <v>1273400</v>
      </c>
      <c r="AG44" s="4">
        <v>1045937</v>
      </c>
      <c r="AH44" s="4">
        <v>267624</v>
      </c>
      <c r="AI44" s="4">
        <v>0</v>
      </c>
      <c r="AJ44" s="4">
        <v>0</v>
      </c>
      <c r="AK44" s="4">
        <v>130399</v>
      </c>
      <c r="AM44" s="4">
        <f t="shared" si="15"/>
        <v>239217</v>
      </c>
      <c r="AN44" s="4">
        <f t="shared" si="16"/>
        <v>-65200</v>
      </c>
      <c r="AO44" s="6">
        <f t="shared" si="17"/>
        <v>-43747</v>
      </c>
      <c r="AP44" s="4">
        <f t="shared" si="18"/>
        <v>-172092</v>
      </c>
      <c r="AQ44" s="4">
        <f t="shared" si="19"/>
        <v>-1273400</v>
      </c>
      <c r="AR44" s="4">
        <f t="shared" si="20"/>
        <v>0</v>
      </c>
      <c r="AS44" s="4">
        <f t="shared" si="21"/>
        <v>-3943240</v>
      </c>
      <c r="AT44" s="4">
        <f t="shared" si="22"/>
        <v>-4769514</v>
      </c>
      <c r="AU44" s="4">
        <f t="shared" si="23"/>
        <v>0</v>
      </c>
    </row>
    <row r="45" spans="1:47" x14ac:dyDescent="0.25">
      <c r="A45" t="s">
        <v>201</v>
      </c>
      <c r="B45">
        <v>34205</v>
      </c>
      <c r="C45" s="4">
        <f>VLOOKUP(B45,'ER Contributions'!A:D,4,FALSE)</f>
        <v>1085745.3199999998</v>
      </c>
      <c r="D45" s="5">
        <f>VLOOKUP(B45,'ER Contributions'!A:D,3,FALSE)</f>
        <v>2.901E-4</v>
      </c>
      <c r="E45" s="6">
        <f>VLOOKUP(B45,'68 - Summary Exhibit'!A:N,3,FALSE)</f>
        <v>4298318</v>
      </c>
      <c r="F45" s="6">
        <f>VLOOKUP(B45,'68 - Summary Exhibit'!A:N,4,FALSE)</f>
        <v>387353</v>
      </c>
      <c r="G45" s="6">
        <f>VLOOKUP(B45,'68 - Summary Exhibit'!A:N,5,FALSE)</f>
        <v>708772</v>
      </c>
      <c r="H45" s="6">
        <f>VLOOKUP(B45,'68 - Summary Exhibit'!A:N,6,FALSE)</f>
        <v>0</v>
      </c>
      <c r="I45" s="4">
        <f>VLOOKUP(B45,'68 - Summary Exhibit'!A:N,7,FALSE)</f>
        <v>0</v>
      </c>
      <c r="J45" s="4">
        <f>VLOOKUP(B45,'68 - Summary Exhibit'!A:N,8,FALSE)</f>
        <v>12706</v>
      </c>
      <c r="K45" s="4">
        <f>VLOOKUP(B45,'68 - Summary Exhibit'!A:N,9,FALSE)</f>
        <v>0</v>
      </c>
      <c r="L45" s="4">
        <f>VLOOKUP(B45,'68 - Summary Exhibit'!A:N,10,FALSE)</f>
        <v>0</v>
      </c>
      <c r="M45" s="4">
        <f>VLOOKUP(B45,'68 - Summary Exhibit'!A:N,11,FALSE)</f>
        <v>426398</v>
      </c>
      <c r="N45" s="4">
        <f>VLOOKUP(B45,'68 - Summary Exhibit'!A:N,12,FALSE)</f>
        <v>1187422</v>
      </c>
      <c r="O45" s="4">
        <f>VLOOKUP(B45,'68 - Summary Exhibit'!A:N,13,FALSE)</f>
        <v>-150288</v>
      </c>
      <c r="P45" s="4">
        <f t="shared" si="12"/>
        <v>1037134</v>
      </c>
      <c r="Q45" s="4">
        <f>VLOOKUP(B45,'68- Deferred Amortization'!A:G,3,FALSE)</f>
        <v>80316.494192823477</v>
      </c>
      <c r="R45" s="4">
        <f>VLOOKUP(B45,'68- Deferred Amortization'!A:G,4,FALSE)</f>
        <v>670903.79869103699</v>
      </c>
      <c r="S45" s="4">
        <f>VLOOKUP(B45,'68- Deferred Amortization'!A:G,5,FALSE)</f>
        <v>-18330.258600000001</v>
      </c>
      <c r="T45" s="4">
        <f>VLOOKUP(B45,'68- Deferred Amortization'!A:G,6,FALSE)</f>
        <v>-75868.982700000008</v>
      </c>
      <c r="U45" s="4">
        <f>VLOOKUP(B45,'68- Deferred Amortization'!A:G,7,FALSE)</f>
        <v>0</v>
      </c>
      <c r="V45" s="4">
        <f t="shared" si="13"/>
        <v>1</v>
      </c>
      <c r="W45" s="4">
        <f t="shared" si="14"/>
        <v>0</v>
      </c>
      <c r="X45">
        <v>2</v>
      </c>
      <c r="AC45" s="6">
        <v>5815188</v>
      </c>
      <c r="AD45" s="6">
        <v>474075</v>
      </c>
      <c r="AE45" s="6">
        <v>1619529</v>
      </c>
      <c r="AF45" s="6">
        <v>204222</v>
      </c>
      <c r="AG45" s="4">
        <v>93751</v>
      </c>
      <c r="AH45" s="4">
        <v>42920</v>
      </c>
      <c r="AI45" s="4">
        <v>0</v>
      </c>
      <c r="AJ45" s="4">
        <v>0</v>
      </c>
      <c r="AK45" s="4">
        <v>223378</v>
      </c>
      <c r="AM45" s="4">
        <f t="shared" si="15"/>
        <v>-93751</v>
      </c>
      <c r="AN45" s="4">
        <f t="shared" si="16"/>
        <v>203020</v>
      </c>
      <c r="AO45" s="6">
        <f t="shared" si="17"/>
        <v>-86722</v>
      </c>
      <c r="AP45" s="4">
        <f t="shared" si="18"/>
        <v>-30214</v>
      </c>
      <c r="AQ45" s="4">
        <f t="shared" si="19"/>
        <v>-204222</v>
      </c>
      <c r="AR45" s="4">
        <f t="shared" si="20"/>
        <v>0</v>
      </c>
      <c r="AS45" s="4">
        <f t="shared" si="21"/>
        <v>-1516870</v>
      </c>
      <c r="AT45" s="4">
        <f t="shared" si="22"/>
        <v>-910757</v>
      </c>
      <c r="AU45" s="4">
        <f t="shared" si="23"/>
        <v>0</v>
      </c>
    </row>
    <row r="46" spans="1:47" x14ac:dyDescent="0.25">
      <c r="A46" t="s">
        <v>202</v>
      </c>
      <c r="B46">
        <v>34405</v>
      </c>
      <c r="C46" s="4">
        <f>VLOOKUP(B46,'ER Contributions'!A:D,4,FALSE)</f>
        <v>1484375.32</v>
      </c>
      <c r="D46" s="5">
        <f>VLOOKUP(B46,'ER Contributions'!A:D,3,FALSE)</f>
        <v>4.5179999999999998E-4</v>
      </c>
      <c r="E46" s="6">
        <f>VLOOKUP(B46,'68 - Summary Exhibit'!A:N,3,FALSE)</f>
        <v>6694175</v>
      </c>
      <c r="F46" s="6">
        <f>VLOOKUP(B46,'68 - Summary Exhibit'!A:N,4,FALSE)</f>
        <v>603261</v>
      </c>
      <c r="G46" s="6">
        <f>VLOOKUP(B46,'68 - Summary Exhibit'!A:N,5,FALSE)</f>
        <v>1103838</v>
      </c>
      <c r="H46" s="6">
        <f>VLOOKUP(B46,'68 - Summary Exhibit'!A:N,6,FALSE)</f>
        <v>0</v>
      </c>
      <c r="I46" s="4">
        <f>VLOOKUP(B46,'68 - Summary Exhibit'!A:N,7,FALSE)</f>
        <v>18361</v>
      </c>
      <c r="J46" s="4">
        <f>VLOOKUP(B46,'68 - Summary Exhibit'!A:N,8,FALSE)</f>
        <v>19789</v>
      </c>
      <c r="K46" s="4">
        <f>VLOOKUP(B46,'68 - Summary Exhibit'!A:N,9,FALSE)</f>
        <v>0</v>
      </c>
      <c r="L46" s="4">
        <f>VLOOKUP(B46,'68 - Summary Exhibit'!A:N,10,FALSE)</f>
        <v>0</v>
      </c>
      <c r="M46" s="4">
        <f>VLOOKUP(B46,'68 - Summary Exhibit'!A:N,11,FALSE)</f>
        <v>410074</v>
      </c>
      <c r="N46" s="4">
        <f>VLOOKUP(B46,'68 - Summary Exhibit'!A:N,12,FALSE)</f>
        <v>1849283</v>
      </c>
      <c r="O46" s="4">
        <f>VLOOKUP(B46,'68 - Summary Exhibit'!A:N,13,FALSE)</f>
        <v>-223766</v>
      </c>
      <c r="P46" s="4">
        <f t="shared" si="12"/>
        <v>1625517</v>
      </c>
      <c r="Q46" s="4">
        <f>VLOOKUP(B46,'68- Deferred Amortization'!A:G,3,FALSE)</f>
        <v>318473.25053630088</v>
      </c>
      <c r="R46" s="4">
        <f>VLOOKUP(B46,'68- Deferred Amortization'!A:G,4,FALSE)</f>
        <v>1123829.7623159522</v>
      </c>
      <c r="S46" s="4">
        <f>VLOOKUP(B46,'68- Deferred Amortization'!A:G,5,FALSE)</f>
        <v>-28547.434799999999</v>
      </c>
      <c r="T46" s="4">
        <f>VLOOKUP(B46,'68- Deferred Amortization'!A:G,6,FALSE)</f>
        <v>-118157.8986</v>
      </c>
      <c r="U46" s="4">
        <f>VLOOKUP(B46,'68- Deferred Amortization'!A:G,7,FALSE)</f>
        <v>0</v>
      </c>
      <c r="V46" s="4">
        <f t="shared" si="13"/>
        <v>0</v>
      </c>
      <c r="W46" s="4">
        <f t="shared" si="14"/>
        <v>-1</v>
      </c>
      <c r="X46">
        <v>2</v>
      </c>
      <c r="AC46" s="6">
        <v>8379339</v>
      </c>
      <c r="AD46" s="6">
        <v>683114</v>
      </c>
      <c r="AE46" s="6">
        <v>2333645</v>
      </c>
      <c r="AF46" s="6">
        <v>294271</v>
      </c>
      <c r="AG46" s="4">
        <v>36722</v>
      </c>
      <c r="AH46" s="4">
        <v>61845</v>
      </c>
      <c r="AI46" s="4">
        <v>0</v>
      </c>
      <c r="AJ46" s="4">
        <v>0</v>
      </c>
      <c r="AK46" s="4">
        <v>164004</v>
      </c>
      <c r="AM46" s="4">
        <f t="shared" si="15"/>
        <v>-18361</v>
      </c>
      <c r="AN46" s="4">
        <f t="shared" si="16"/>
        <v>246070</v>
      </c>
      <c r="AO46" s="6">
        <f t="shared" si="17"/>
        <v>-79853</v>
      </c>
      <c r="AP46" s="4">
        <f t="shared" si="18"/>
        <v>-42056</v>
      </c>
      <c r="AQ46" s="4">
        <f t="shared" si="19"/>
        <v>-294271</v>
      </c>
      <c r="AR46" s="4">
        <f t="shared" si="20"/>
        <v>0</v>
      </c>
      <c r="AS46" s="4">
        <f t="shared" si="21"/>
        <v>-1685164</v>
      </c>
      <c r="AT46" s="4">
        <f t="shared" si="22"/>
        <v>-1229807</v>
      </c>
      <c r="AU46" s="4">
        <f t="shared" si="23"/>
        <v>0</v>
      </c>
    </row>
    <row r="47" spans="1:47" x14ac:dyDescent="0.25">
      <c r="A47" t="s">
        <v>203</v>
      </c>
      <c r="B47">
        <v>38105</v>
      </c>
      <c r="C47" s="4">
        <f>VLOOKUP(B47,'ER Contributions'!A:D,4,FALSE)</f>
        <v>1910108.8499999999</v>
      </c>
      <c r="D47" s="5">
        <f>VLOOKUP(B47,'ER Contributions'!A:D,3,FALSE)</f>
        <v>5.5619999999999997E-4</v>
      </c>
      <c r="E47" s="6">
        <f>VLOOKUP(B47,'68 - Summary Exhibit'!A:N,3,FALSE)</f>
        <v>8241036</v>
      </c>
      <c r="F47" s="6">
        <f>VLOOKUP(B47,'68 - Summary Exhibit'!A:N,4,FALSE)</f>
        <v>742660</v>
      </c>
      <c r="G47" s="6">
        <f>VLOOKUP(B47,'68 - Summary Exhibit'!A:N,5,FALSE)</f>
        <v>1358908</v>
      </c>
      <c r="H47" s="6">
        <f>VLOOKUP(B47,'68 - Summary Exhibit'!A:N,6,FALSE)</f>
        <v>0</v>
      </c>
      <c r="I47" s="4">
        <f>VLOOKUP(B47,'68 - Summary Exhibit'!A:N,7,FALSE)</f>
        <v>123303</v>
      </c>
      <c r="J47" s="4">
        <f>VLOOKUP(B47,'68 - Summary Exhibit'!A:N,8,FALSE)</f>
        <v>24362</v>
      </c>
      <c r="K47" s="4">
        <f>VLOOKUP(B47,'68 - Summary Exhibit'!A:N,9,FALSE)</f>
        <v>0</v>
      </c>
      <c r="L47" s="4">
        <f>VLOOKUP(B47,'68 - Summary Exhibit'!A:N,10,FALSE)</f>
        <v>0</v>
      </c>
      <c r="M47" s="4">
        <f>VLOOKUP(B47,'68 - Summary Exhibit'!A:N,11,FALSE)</f>
        <v>210591</v>
      </c>
      <c r="N47" s="4">
        <f>VLOOKUP(B47,'68 - Summary Exhibit'!A:N,12,FALSE)</f>
        <v>2276608</v>
      </c>
      <c r="O47" s="4">
        <f>VLOOKUP(B47,'68 - Summary Exhibit'!A:N,13,FALSE)</f>
        <v>-71645</v>
      </c>
      <c r="P47" s="4">
        <f t="shared" si="12"/>
        <v>2204963</v>
      </c>
      <c r="Q47" s="4">
        <f>VLOOKUP(B47,'68- Deferred Amortization'!A:G,3,FALSE)</f>
        <v>573433.08040098997</v>
      </c>
      <c r="R47" s="4">
        <f>VLOOKUP(B47,'68- Deferred Amortization'!A:G,4,FALSE)</f>
        <v>1597090.5834095627</v>
      </c>
      <c r="S47" s="4">
        <f>VLOOKUP(B47,'68- Deferred Amortization'!A:G,5,FALSE)</f>
        <v>-35144.053199999995</v>
      </c>
      <c r="T47" s="4">
        <f>VLOOKUP(B47,'68- Deferred Amortization'!A:G,6,FALSE)</f>
        <v>-145461.3174</v>
      </c>
      <c r="U47" s="4">
        <f>VLOOKUP(B47,'68- Deferred Amortization'!A:G,7,FALSE)</f>
        <v>0</v>
      </c>
      <c r="V47" s="4">
        <f t="shared" si="13"/>
        <v>-1</v>
      </c>
      <c r="W47" s="4">
        <f t="shared" si="14"/>
        <v>0</v>
      </c>
      <c r="X47">
        <v>2</v>
      </c>
      <c r="AC47" s="6">
        <v>9961510</v>
      </c>
      <c r="AD47" s="6">
        <v>812099</v>
      </c>
      <c r="AE47" s="6">
        <v>2774280</v>
      </c>
      <c r="AF47" s="6">
        <v>349835</v>
      </c>
      <c r="AG47" s="4">
        <v>184954</v>
      </c>
      <c r="AH47" s="4">
        <v>73523</v>
      </c>
      <c r="AI47" s="4">
        <v>0</v>
      </c>
      <c r="AJ47" s="4">
        <v>0</v>
      </c>
      <c r="AK47" s="4">
        <v>42398</v>
      </c>
      <c r="AM47" s="4">
        <f t="shared" si="15"/>
        <v>-61651</v>
      </c>
      <c r="AN47" s="4">
        <f t="shared" si="16"/>
        <v>168193</v>
      </c>
      <c r="AO47" s="6">
        <f t="shared" si="17"/>
        <v>-69439</v>
      </c>
      <c r="AP47" s="4">
        <f t="shared" si="18"/>
        <v>-49161</v>
      </c>
      <c r="AQ47" s="4">
        <f t="shared" si="19"/>
        <v>-349835</v>
      </c>
      <c r="AR47" s="4">
        <f t="shared" si="20"/>
        <v>0</v>
      </c>
      <c r="AS47" s="4">
        <f t="shared" si="21"/>
        <v>-1720474</v>
      </c>
      <c r="AT47" s="4">
        <f t="shared" si="22"/>
        <v>-1415372</v>
      </c>
      <c r="AU47" s="4">
        <f t="shared" si="23"/>
        <v>0</v>
      </c>
    </row>
    <row r="48" spans="1:47" x14ac:dyDescent="0.25">
      <c r="A48" t="s">
        <v>204</v>
      </c>
      <c r="B48">
        <v>33105</v>
      </c>
      <c r="C48" s="4">
        <f>VLOOKUP(B48,'ER Contributions'!A:D,4,FALSE)</f>
        <v>1432885.62</v>
      </c>
      <c r="D48" s="5">
        <f>VLOOKUP(B48,'ER Contributions'!A:D,3,FALSE)</f>
        <v>3.9439999999999999E-4</v>
      </c>
      <c r="E48" s="6">
        <f>VLOOKUP(B48,'68 - Summary Exhibit'!A:N,3,FALSE)</f>
        <v>5843698</v>
      </c>
      <c r="F48" s="6">
        <f>VLOOKUP(B48,'68 - Summary Exhibit'!A:N,4,FALSE)</f>
        <v>526619</v>
      </c>
      <c r="G48" s="6">
        <f>VLOOKUP(B48,'68 - Summary Exhibit'!A:N,5,FALSE)</f>
        <v>963598</v>
      </c>
      <c r="H48" s="6">
        <f>VLOOKUP(B48,'68 - Summary Exhibit'!A:N,6,FALSE)</f>
        <v>0</v>
      </c>
      <c r="I48" s="4">
        <f>VLOOKUP(B48,'68 - Summary Exhibit'!A:N,7,FALSE)</f>
        <v>167596</v>
      </c>
      <c r="J48" s="4">
        <f>VLOOKUP(B48,'68 - Summary Exhibit'!A:N,8,FALSE)</f>
        <v>17275</v>
      </c>
      <c r="K48" s="4">
        <f>VLOOKUP(B48,'68 - Summary Exhibit'!A:N,9,FALSE)</f>
        <v>0</v>
      </c>
      <c r="L48" s="4">
        <f>VLOOKUP(B48,'68 - Summary Exhibit'!A:N,10,FALSE)</f>
        <v>0</v>
      </c>
      <c r="M48" s="4">
        <f>VLOOKUP(B48,'68 - Summary Exhibit'!A:N,11,FALSE)</f>
        <v>177434</v>
      </c>
      <c r="N48" s="4">
        <f>VLOOKUP(B48,'68 - Summary Exhibit'!A:N,12,FALSE)</f>
        <v>1614337</v>
      </c>
      <c r="O48" s="4">
        <f>VLOOKUP(B48,'68 - Summary Exhibit'!A:N,13,FALSE)</f>
        <v>47948</v>
      </c>
      <c r="P48" s="4">
        <f t="shared" si="12"/>
        <v>1662285</v>
      </c>
      <c r="Q48" s="4">
        <f>VLOOKUP(B48,'68- Deferred Amortization'!A:G,3,FALSE)</f>
        <v>456199.51739503571</v>
      </c>
      <c r="R48" s="4">
        <f>VLOOKUP(B48,'68- Deferred Amortization'!A:G,4,FALSE)</f>
        <v>1134971.6098698801</v>
      </c>
      <c r="S48" s="4">
        <f>VLOOKUP(B48,'68- Deferred Amortization'!A:G,5,FALSE)</f>
        <v>-24920.558399999998</v>
      </c>
      <c r="T48" s="4">
        <f>VLOOKUP(B48,'68- Deferred Amortization'!A:G,6,FALSE)</f>
        <v>-103146.2488</v>
      </c>
      <c r="U48" s="4">
        <f>VLOOKUP(B48,'68- Deferred Amortization'!A:G,7,FALSE)</f>
        <v>0</v>
      </c>
      <c r="V48" s="4">
        <f t="shared" si="13"/>
        <v>0</v>
      </c>
      <c r="W48" s="4">
        <f t="shared" si="14"/>
        <v>0</v>
      </c>
      <c r="X48">
        <v>2</v>
      </c>
      <c r="AC48" s="6">
        <v>7277321</v>
      </c>
      <c r="AD48" s="6">
        <v>593274</v>
      </c>
      <c r="AE48" s="6">
        <v>2026733</v>
      </c>
      <c r="AF48" s="6">
        <v>255570</v>
      </c>
      <c r="AG48" s="4">
        <v>304261</v>
      </c>
      <c r="AH48" s="4">
        <v>53712</v>
      </c>
      <c r="AI48" s="4">
        <v>0</v>
      </c>
      <c r="AJ48" s="4">
        <v>0</v>
      </c>
      <c r="AK48" s="4">
        <v>0</v>
      </c>
      <c r="AM48" s="4">
        <f t="shared" si="15"/>
        <v>-136665</v>
      </c>
      <c r="AN48" s="4">
        <f t="shared" si="16"/>
        <v>177434</v>
      </c>
      <c r="AO48" s="6">
        <f t="shared" si="17"/>
        <v>-66655</v>
      </c>
      <c r="AP48" s="4">
        <f t="shared" si="18"/>
        <v>-36437</v>
      </c>
      <c r="AQ48" s="4">
        <f t="shared" si="19"/>
        <v>-255570</v>
      </c>
      <c r="AR48" s="4">
        <f t="shared" si="20"/>
        <v>0</v>
      </c>
      <c r="AS48" s="4">
        <f t="shared" si="21"/>
        <v>-1433623</v>
      </c>
      <c r="AT48" s="4">
        <f t="shared" si="22"/>
        <v>-1063135</v>
      </c>
      <c r="AU48" s="4">
        <f t="shared" si="23"/>
        <v>0</v>
      </c>
    </row>
    <row r="49" spans="1:47" x14ac:dyDescent="0.25">
      <c r="A49" t="s">
        <v>205</v>
      </c>
      <c r="B49">
        <v>35105</v>
      </c>
      <c r="C49" s="4">
        <f>VLOOKUP(B49,'ER Contributions'!A:D,4,FALSE)</f>
        <v>3875268.1499999994</v>
      </c>
      <c r="D49" s="5">
        <f>VLOOKUP(B49,'ER Contributions'!A:D,3,FALSE)</f>
        <v>1.1773E-3</v>
      </c>
      <c r="E49" s="6">
        <f>VLOOKUP(B49,'68 - Summary Exhibit'!A:N,3,FALSE)</f>
        <v>17443675</v>
      </c>
      <c r="F49" s="6">
        <f>VLOOKUP(B49,'68 - Summary Exhibit'!A:N,4,FALSE)</f>
        <v>1571978</v>
      </c>
      <c r="G49" s="6">
        <f>VLOOKUP(B49,'68 - Summary Exhibit'!A:N,5,FALSE)</f>
        <v>2876379</v>
      </c>
      <c r="H49" s="6">
        <f>VLOOKUP(B49,'68 - Summary Exhibit'!A:N,6,FALSE)</f>
        <v>0</v>
      </c>
      <c r="I49" s="4">
        <f>VLOOKUP(B49,'68 - Summary Exhibit'!A:N,7,FALSE)</f>
        <v>685632</v>
      </c>
      <c r="J49" s="4">
        <f>VLOOKUP(B49,'68 - Summary Exhibit'!A:N,8,FALSE)</f>
        <v>51566</v>
      </c>
      <c r="K49" s="4">
        <f>VLOOKUP(B49,'68 - Summary Exhibit'!A:N,9,FALSE)</f>
        <v>0</v>
      </c>
      <c r="L49" s="4">
        <f>VLOOKUP(B49,'68 - Summary Exhibit'!A:N,10,FALSE)</f>
        <v>0</v>
      </c>
      <c r="M49" s="4">
        <f>VLOOKUP(B49,'68 - Summary Exhibit'!A:N,11,FALSE)</f>
        <v>234166</v>
      </c>
      <c r="N49" s="4">
        <f>VLOOKUP(B49,'68 - Summary Exhibit'!A:N,12,FALSE)</f>
        <v>4818861</v>
      </c>
      <c r="O49" s="4">
        <f>VLOOKUP(B49,'68 - Summary Exhibit'!A:N,13,FALSE)</f>
        <v>102432</v>
      </c>
      <c r="P49" s="4">
        <f t="shared" si="12"/>
        <v>4921293</v>
      </c>
      <c r="Q49" s="4">
        <f>VLOOKUP(B49,'68- Deferred Amortization'!A:G,3,FALSE)</f>
        <v>1459340.6897779005</v>
      </c>
      <c r="R49" s="4">
        <f>VLOOKUP(B49,'68- Deferred Amortization'!A:G,4,FALSE)</f>
        <v>3771201.3822458689</v>
      </c>
      <c r="S49" s="4">
        <f>VLOOKUP(B49,'68- Deferred Amortization'!A:G,5,FALSE)</f>
        <v>-74388.877800000002</v>
      </c>
      <c r="T49" s="4">
        <f>VLOOKUP(B49,'68- Deferred Amortization'!A:G,6,FALSE)</f>
        <v>-307895.73710000003</v>
      </c>
      <c r="U49" s="4">
        <f>VLOOKUP(B49,'68- Deferred Amortization'!A:G,7,FALSE)</f>
        <v>0</v>
      </c>
      <c r="V49" s="4">
        <f t="shared" si="13"/>
        <v>1</v>
      </c>
      <c r="W49" s="4">
        <f t="shared" si="14"/>
        <v>0</v>
      </c>
      <c r="X49">
        <v>2</v>
      </c>
      <c r="AC49" s="6">
        <v>18089102</v>
      </c>
      <c r="AD49" s="6">
        <v>1474690</v>
      </c>
      <c r="AE49" s="6">
        <v>5037813</v>
      </c>
      <c r="AF49" s="6">
        <v>635265</v>
      </c>
      <c r="AG49" s="4">
        <v>0</v>
      </c>
      <c r="AH49" s="4">
        <v>133510</v>
      </c>
      <c r="AI49" s="4">
        <v>0</v>
      </c>
      <c r="AJ49" s="4">
        <v>0</v>
      </c>
      <c r="AK49" s="4">
        <v>474550</v>
      </c>
      <c r="AM49" s="4">
        <f t="shared" si="15"/>
        <v>685632</v>
      </c>
      <c r="AN49" s="4">
        <f t="shared" si="16"/>
        <v>-240384</v>
      </c>
      <c r="AO49" s="6">
        <f t="shared" si="17"/>
        <v>97288</v>
      </c>
      <c r="AP49" s="4">
        <f t="shared" si="18"/>
        <v>-81944</v>
      </c>
      <c r="AQ49" s="4">
        <f t="shared" si="19"/>
        <v>-635265</v>
      </c>
      <c r="AR49" s="4">
        <f t="shared" si="20"/>
        <v>0</v>
      </c>
      <c r="AS49" s="4">
        <f t="shared" si="21"/>
        <v>-645427</v>
      </c>
      <c r="AT49" s="4">
        <f t="shared" si="22"/>
        <v>-2161434</v>
      </c>
      <c r="AU49" s="4">
        <f t="shared" si="23"/>
        <v>0</v>
      </c>
    </row>
    <row r="50" spans="1:47" x14ac:dyDescent="0.25">
      <c r="A50" t="s">
        <v>206</v>
      </c>
      <c r="B50">
        <v>35405</v>
      </c>
      <c r="C50" s="4">
        <f>VLOOKUP(B50,'ER Contributions'!A:D,4,FALSE)</f>
        <v>2553397.31</v>
      </c>
      <c r="D50" s="5">
        <f>VLOOKUP(B50,'ER Contributions'!A:D,3,FALSE)</f>
        <v>8.2169999999999997E-4</v>
      </c>
      <c r="E50" s="6">
        <f>VLOOKUP(B50,'68 - Summary Exhibit'!A:N,3,FALSE)</f>
        <v>12174864</v>
      </c>
      <c r="F50" s="6">
        <f>VLOOKUP(B50,'68 - Summary Exhibit'!A:N,4,FALSE)</f>
        <v>1097167</v>
      </c>
      <c r="G50" s="6">
        <f>VLOOKUP(B50,'68 - Summary Exhibit'!A:N,5,FALSE)</f>
        <v>2007577</v>
      </c>
      <c r="H50" s="6">
        <f>VLOOKUP(B50,'68 - Summary Exhibit'!A:N,6,FALSE)</f>
        <v>0</v>
      </c>
      <c r="I50" s="4">
        <f>VLOOKUP(B50,'68 - Summary Exhibit'!A:N,7,FALSE)</f>
        <v>0</v>
      </c>
      <c r="J50" s="4">
        <f>VLOOKUP(B50,'68 - Summary Exhibit'!A:N,8,FALSE)</f>
        <v>35990</v>
      </c>
      <c r="K50" s="4">
        <f>VLOOKUP(B50,'68 - Summary Exhibit'!A:N,9,FALSE)</f>
        <v>0</v>
      </c>
      <c r="L50" s="4">
        <f>VLOOKUP(B50,'68 - Summary Exhibit'!A:N,10,FALSE)</f>
        <v>0</v>
      </c>
      <c r="M50" s="4">
        <f>VLOOKUP(B50,'68 - Summary Exhibit'!A:N,11,FALSE)</f>
        <v>509355</v>
      </c>
      <c r="N50" s="4">
        <f>VLOOKUP(B50,'68 - Summary Exhibit'!A:N,12,FALSE)</f>
        <v>3363338</v>
      </c>
      <c r="O50" s="4">
        <f>VLOOKUP(B50,'68 - Summary Exhibit'!A:N,13,FALSE)</f>
        <v>-373811</v>
      </c>
      <c r="P50" s="4">
        <f t="shared" si="12"/>
        <v>2989527</v>
      </c>
      <c r="Q50" s="4">
        <f>VLOOKUP(B50,'68- Deferred Amortization'!A:G,3,FALSE)</f>
        <v>579792.65177109302</v>
      </c>
      <c r="R50" s="4">
        <f>VLOOKUP(B50,'68- Deferred Amortization'!A:G,4,FALSE)</f>
        <v>2246422.2698319601</v>
      </c>
      <c r="S50" s="4">
        <f>VLOOKUP(B50,'68- Deferred Amortization'!A:G,5,FALSE)</f>
        <v>-51919.936199999996</v>
      </c>
      <c r="T50" s="4">
        <f>VLOOKUP(B50,'68- Deferred Amortization'!A:G,6,FALSE)</f>
        <v>-214896.7359</v>
      </c>
      <c r="U50" s="4">
        <f>VLOOKUP(B50,'68- Deferred Amortization'!A:G,7,FALSE)</f>
        <v>0</v>
      </c>
      <c r="V50" s="4">
        <f t="shared" si="13"/>
        <v>0</v>
      </c>
      <c r="W50" s="4">
        <f t="shared" si="14"/>
        <v>1</v>
      </c>
      <c r="X50">
        <v>2</v>
      </c>
      <c r="AC50" s="6">
        <v>14069486</v>
      </c>
      <c r="AD50" s="6">
        <v>1146996</v>
      </c>
      <c r="AE50" s="6">
        <v>3918351</v>
      </c>
      <c r="AF50" s="6">
        <v>494102</v>
      </c>
      <c r="AG50" s="4">
        <v>0</v>
      </c>
      <c r="AH50" s="4">
        <v>103843</v>
      </c>
      <c r="AI50" s="4">
        <v>0</v>
      </c>
      <c r="AJ50" s="4">
        <v>0</v>
      </c>
      <c r="AK50" s="4">
        <v>565455</v>
      </c>
      <c r="AM50" s="4">
        <f t="shared" si="15"/>
        <v>0</v>
      </c>
      <c r="AN50" s="4">
        <f t="shared" si="16"/>
        <v>-56100</v>
      </c>
      <c r="AO50" s="6">
        <f t="shared" si="17"/>
        <v>-49829</v>
      </c>
      <c r="AP50" s="4">
        <f t="shared" si="18"/>
        <v>-67853</v>
      </c>
      <c r="AQ50" s="4">
        <f t="shared" si="19"/>
        <v>-494102</v>
      </c>
      <c r="AR50" s="4">
        <f t="shared" si="20"/>
        <v>0</v>
      </c>
      <c r="AS50" s="4">
        <f t="shared" si="21"/>
        <v>-1894622</v>
      </c>
      <c r="AT50" s="4">
        <f t="shared" si="22"/>
        <v>-1910774</v>
      </c>
      <c r="AU50" s="4">
        <f t="shared" si="23"/>
        <v>0</v>
      </c>
    </row>
    <row r="51" spans="1:47" x14ac:dyDescent="0.25">
      <c r="A51" t="s">
        <v>207</v>
      </c>
      <c r="B51">
        <v>35805</v>
      </c>
      <c r="C51" s="4">
        <f>VLOOKUP(B51,'ER Contributions'!A:D,4,FALSE)</f>
        <v>880213.39000000013</v>
      </c>
      <c r="D51" s="5">
        <f>VLOOKUP(B51,'ER Contributions'!A:D,3,FALSE)</f>
        <v>2.3599999999999999E-4</v>
      </c>
      <c r="E51" s="6">
        <f>VLOOKUP(B51,'68 - Summary Exhibit'!A:N,3,FALSE)</f>
        <v>3496736</v>
      </c>
      <c r="F51" s="6">
        <f>VLOOKUP(B51,'68 - Summary Exhibit'!A:N,4,FALSE)</f>
        <v>315117</v>
      </c>
      <c r="G51" s="6">
        <f>VLOOKUP(B51,'68 - Summary Exhibit'!A:N,5,FALSE)</f>
        <v>576595</v>
      </c>
      <c r="H51" s="6">
        <f>VLOOKUP(B51,'68 - Summary Exhibit'!A:N,6,FALSE)</f>
        <v>0</v>
      </c>
      <c r="I51" s="4">
        <f>VLOOKUP(B51,'68 - Summary Exhibit'!A:N,7,FALSE)</f>
        <v>162766</v>
      </c>
      <c r="J51" s="4">
        <f>VLOOKUP(B51,'68 - Summary Exhibit'!A:N,8,FALSE)</f>
        <v>10337</v>
      </c>
      <c r="K51" s="4">
        <f>VLOOKUP(B51,'68 - Summary Exhibit'!A:N,9,FALSE)</f>
        <v>0</v>
      </c>
      <c r="L51" s="4">
        <f>VLOOKUP(B51,'68 - Summary Exhibit'!A:N,10,FALSE)</f>
        <v>0</v>
      </c>
      <c r="M51" s="4">
        <f>VLOOKUP(B51,'68 - Summary Exhibit'!A:N,11,FALSE)</f>
        <v>1559</v>
      </c>
      <c r="N51" s="4">
        <f>VLOOKUP(B51,'68 - Summary Exhibit'!A:N,12,FALSE)</f>
        <v>965982</v>
      </c>
      <c r="O51" s="4">
        <f>VLOOKUP(B51,'68 - Summary Exhibit'!A:N,13,FALSE)</f>
        <v>106460</v>
      </c>
      <c r="P51" s="4">
        <f t="shared" si="12"/>
        <v>1072442</v>
      </c>
      <c r="Q51" s="4">
        <f>VLOOKUP(B51,'68- Deferred Amortization'!A:G,3,FALSE)</f>
        <v>343690.56777334679</v>
      </c>
      <c r="R51" s="4">
        <f>VLOOKUP(B51,'68- Deferred Amortization'!A:G,4,FALSE)</f>
        <v>775522.97818062536</v>
      </c>
      <c r="S51" s="4">
        <f>VLOOKUP(B51,'68- Deferred Amortization'!A:G,5,FALSE)</f>
        <v>-14911.895999999999</v>
      </c>
      <c r="T51" s="4">
        <f>VLOOKUP(B51,'68- Deferred Amortization'!A:G,6,FALSE)</f>
        <v>-61720.371999999996</v>
      </c>
      <c r="U51" s="4">
        <f>VLOOKUP(B51,'68- Deferred Amortization'!A:G,7,FALSE)</f>
        <v>0</v>
      </c>
      <c r="V51" s="4">
        <f t="shared" si="13"/>
        <v>0</v>
      </c>
      <c r="W51" s="4">
        <f t="shared" si="14"/>
        <v>1</v>
      </c>
      <c r="X51">
        <v>2</v>
      </c>
      <c r="AC51" s="6">
        <v>3761199</v>
      </c>
      <c r="AD51" s="6">
        <v>306627</v>
      </c>
      <c r="AE51" s="6">
        <v>1047494</v>
      </c>
      <c r="AF51" s="6">
        <v>132088</v>
      </c>
      <c r="AG51" s="4">
        <v>43944</v>
      </c>
      <c r="AH51" s="4">
        <v>27760</v>
      </c>
      <c r="AI51" s="4">
        <v>0</v>
      </c>
      <c r="AJ51" s="4">
        <v>0</v>
      </c>
      <c r="AK51" s="4">
        <v>3119</v>
      </c>
      <c r="AM51" s="4">
        <f t="shared" si="15"/>
        <v>118822</v>
      </c>
      <c r="AN51" s="4">
        <f t="shared" si="16"/>
        <v>-1560</v>
      </c>
      <c r="AO51" s="6">
        <f t="shared" si="17"/>
        <v>8490</v>
      </c>
      <c r="AP51" s="4">
        <f t="shared" si="18"/>
        <v>-17423</v>
      </c>
      <c r="AQ51" s="4">
        <f t="shared" si="19"/>
        <v>-132088</v>
      </c>
      <c r="AR51" s="4">
        <f t="shared" si="20"/>
        <v>0</v>
      </c>
      <c r="AS51" s="4">
        <f t="shared" si="21"/>
        <v>-264463</v>
      </c>
      <c r="AT51" s="4">
        <f t="shared" si="22"/>
        <v>-470899</v>
      </c>
      <c r="AU51" s="4">
        <f t="shared" si="23"/>
        <v>0</v>
      </c>
    </row>
    <row r="52" spans="1:47" x14ac:dyDescent="0.25">
      <c r="A52" t="s">
        <v>208</v>
      </c>
      <c r="B52">
        <v>36105</v>
      </c>
      <c r="C52" s="4">
        <f>VLOOKUP(B52,'ER Contributions'!A:D,4,FALSE)</f>
        <v>1105824.94</v>
      </c>
      <c r="D52" s="5">
        <f>VLOOKUP(B52,'ER Contributions'!A:D,3,FALSE)</f>
        <v>2.9920000000000001E-4</v>
      </c>
      <c r="E52" s="6">
        <f>VLOOKUP(B52,'68 - Summary Exhibit'!A:N,3,FALSE)</f>
        <v>4433150</v>
      </c>
      <c r="F52" s="6">
        <f>VLOOKUP(B52,'68 - Summary Exhibit'!A:N,4,FALSE)</f>
        <v>399504</v>
      </c>
      <c r="G52" s="6">
        <f>VLOOKUP(B52,'68 - Summary Exhibit'!A:N,5,FALSE)</f>
        <v>731005</v>
      </c>
      <c r="H52" s="6">
        <f>VLOOKUP(B52,'68 - Summary Exhibit'!A:N,6,FALSE)</f>
        <v>0</v>
      </c>
      <c r="I52" s="4">
        <f>VLOOKUP(B52,'68 - Summary Exhibit'!A:N,7,FALSE)</f>
        <v>77417</v>
      </c>
      <c r="J52" s="4">
        <f>VLOOKUP(B52,'68 - Summary Exhibit'!A:N,8,FALSE)</f>
        <v>13105</v>
      </c>
      <c r="K52" s="4">
        <f>VLOOKUP(B52,'68 - Summary Exhibit'!A:N,9,FALSE)</f>
        <v>0</v>
      </c>
      <c r="L52" s="4">
        <f>VLOOKUP(B52,'68 - Summary Exhibit'!A:N,10,FALSE)</f>
        <v>0</v>
      </c>
      <c r="M52" s="4">
        <f>VLOOKUP(B52,'68 - Summary Exhibit'!A:N,11,FALSE)</f>
        <v>115312</v>
      </c>
      <c r="N52" s="4">
        <f>VLOOKUP(B52,'68 - Summary Exhibit'!A:N,12,FALSE)</f>
        <v>1224669</v>
      </c>
      <c r="O52" s="4">
        <f>VLOOKUP(B52,'68 - Summary Exhibit'!A:N,13,FALSE)</f>
        <v>-87285</v>
      </c>
      <c r="P52" s="4">
        <f t="shared" si="12"/>
        <v>1137384</v>
      </c>
      <c r="Q52" s="4">
        <f>VLOOKUP(B52,'68- Deferred Amortization'!A:G,3,FALSE)</f>
        <v>293992.87782580324</v>
      </c>
      <c r="R52" s="4">
        <f>VLOOKUP(B52,'68- Deferred Amortization'!A:G,4,FALSE)</f>
        <v>882670.8946988153</v>
      </c>
      <c r="S52" s="4">
        <f>VLOOKUP(B52,'68- Deferred Amortization'!A:G,5,FALSE)</f>
        <v>-18905.251199999999</v>
      </c>
      <c r="T52" s="4">
        <f>VLOOKUP(B52,'68- Deferred Amortization'!A:G,6,FALSE)</f>
        <v>-78248.878400000001</v>
      </c>
      <c r="U52" s="4">
        <f>VLOOKUP(B52,'68- Deferred Amortization'!A:G,7,FALSE)</f>
        <v>0</v>
      </c>
      <c r="V52" s="4">
        <f t="shared" si="13"/>
        <v>0</v>
      </c>
      <c r="W52" s="4">
        <f t="shared" si="14"/>
        <v>-1</v>
      </c>
      <c r="X52">
        <v>2</v>
      </c>
      <c r="AC52" s="6">
        <v>5398388</v>
      </c>
      <c r="AD52" s="6">
        <v>440096</v>
      </c>
      <c r="AE52" s="6">
        <v>1503451</v>
      </c>
      <c r="AF52" s="6">
        <v>189584</v>
      </c>
      <c r="AG52" s="4">
        <v>116126</v>
      </c>
      <c r="AH52" s="4">
        <v>39844</v>
      </c>
      <c r="AI52" s="4">
        <v>0</v>
      </c>
      <c r="AJ52" s="4">
        <v>0</v>
      </c>
      <c r="AK52" s="4">
        <v>133107</v>
      </c>
      <c r="AM52" s="4">
        <f t="shared" si="15"/>
        <v>-38709</v>
      </c>
      <c r="AN52" s="4">
        <f t="shared" si="16"/>
        <v>-17795</v>
      </c>
      <c r="AO52" s="6">
        <f t="shared" si="17"/>
        <v>-40592</v>
      </c>
      <c r="AP52" s="4">
        <f t="shared" si="18"/>
        <v>-26739</v>
      </c>
      <c r="AQ52" s="4">
        <f t="shared" si="19"/>
        <v>-189584</v>
      </c>
      <c r="AR52" s="4">
        <f t="shared" si="20"/>
        <v>0</v>
      </c>
      <c r="AS52" s="4">
        <f t="shared" si="21"/>
        <v>-965238</v>
      </c>
      <c r="AT52" s="4">
        <f t="shared" si="22"/>
        <v>-772446</v>
      </c>
      <c r="AU52" s="4">
        <f t="shared" si="23"/>
        <v>0</v>
      </c>
    </row>
    <row r="53" spans="1:47" x14ac:dyDescent="0.25">
      <c r="A53" t="s">
        <v>209</v>
      </c>
      <c r="B53">
        <v>35905</v>
      </c>
      <c r="C53" s="4">
        <f>VLOOKUP(B53,'ER Contributions'!A:D,4,FALSE)</f>
        <v>1230512.4100000001</v>
      </c>
      <c r="D53" s="5">
        <f>VLOOKUP(B53,'ER Contributions'!A:D,3,FALSE)</f>
        <v>3.4539999999999999E-4</v>
      </c>
      <c r="E53" s="6">
        <f>VLOOKUP(B53,'68 - Summary Exhibit'!A:N,3,FALSE)</f>
        <v>5117681</v>
      </c>
      <c r="F53" s="6">
        <f>VLOOKUP(B53,'68 - Summary Exhibit'!A:N,4,FALSE)</f>
        <v>461192</v>
      </c>
      <c r="G53" s="6">
        <f>VLOOKUP(B53,'68 - Summary Exhibit'!A:N,5,FALSE)</f>
        <v>843881</v>
      </c>
      <c r="H53" s="6">
        <f>VLOOKUP(B53,'68 - Summary Exhibit'!A:N,6,FALSE)</f>
        <v>0</v>
      </c>
      <c r="I53" s="4">
        <f>VLOOKUP(B53,'68 - Summary Exhibit'!A:N,7,FALSE)</f>
        <v>504567</v>
      </c>
      <c r="J53" s="4">
        <f>VLOOKUP(B53,'68 - Summary Exhibit'!A:N,8,FALSE)</f>
        <v>15129</v>
      </c>
      <c r="K53" s="4">
        <f>VLOOKUP(B53,'68 - Summary Exhibit'!A:N,9,FALSE)</f>
        <v>0</v>
      </c>
      <c r="L53" s="4">
        <f>VLOOKUP(B53,'68 - Summary Exhibit'!A:N,10,FALSE)</f>
        <v>0</v>
      </c>
      <c r="M53" s="4">
        <f>VLOOKUP(B53,'68 - Summary Exhibit'!A:N,11,FALSE)</f>
        <v>0</v>
      </c>
      <c r="N53" s="4">
        <f>VLOOKUP(B53,'68 - Summary Exhibit'!A:N,12,FALSE)</f>
        <v>1413773</v>
      </c>
      <c r="O53" s="4">
        <f>VLOOKUP(B53,'68 - Summary Exhibit'!A:N,13,FALSE)</f>
        <v>336677</v>
      </c>
      <c r="P53" s="4">
        <f t="shared" si="12"/>
        <v>1750450</v>
      </c>
      <c r="Q53" s="4">
        <f>VLOOKUP(B53,'68- Deferred Amortization'!A:G,3,FALSE)</f>
        <v>678268.79694244137</v>
      </c>
      <c r="R53" s="4">
        <f>VLOOKUP(B53,'68- Deferred Amortization'!A:G,4,FALSE)</f>
        <v>1228398.4066886632</v>
      </c>
      <c r="S53" s="4">
        <f>VLOOKUP(B53,'68- Deferred Amortization'!A:G,5,FALSE)</f>
        <v>-21824.4444</v>
      </c>
      <c r="T53" s="4">
        <f>VLOOKUP(B53,'68- Deferred Amortization'!A:G,6,FALSE)</f>
        <v>-90331.425799999997</v>
      </c>
      <c r="U53" s="4">
        <f>VLOOKUP(B53,'68- Deferred Amortization'!A:G,7,FALSE)</f>
        <v>0</v>
      </c>
      <c r="V53" s="4">
        <f t="shared" si="13"/>
        <v>1</v>
      </c>
      <c r="W53" s="4">
        <f t="shared" si="14"/>
        <v>0</v>
      </c>
      <c r="X53">
        <v>2</v>
      </c>
      <c r="AC53" s="6">
        <v>5681812</v>
      </c>
      <c r="AD53" s="6">
        <v>463202</v>
      </c>
      <c r="AE53" s="6">
        <v>1582384</v>
      </c>
      <c r="AF53" s="6">
        <v>199538</v>
      </c>
      <c r="AG53" s="4">
        <v>675391</v>
      </c>
      <c r="AH53" s="4">
        <v>41936</v>
      </c>
      <c r="AI53" s="4">
        <v>0</v>
      </c>
      <c r="AJ53" s="4">
        <v>0</v>
      </c>
      <c r="AK53" s="4">
        <v>0</v>
      </c>
      <c r="AM53" s="4">
        <f t="shared" si="15"/>
        <v>-170824</v>
      </c>
      <c r="AN53" s="4">
        <f t="shared" si="16"/>
        <v>0</v>
      </c>
      <c r="AO53" s="6">
        <f t="shared" si="17"/>
        <v>-2010</v>
      </c>
      <c r="AP53" s="4">
        <f t="shared" si="18"/>
        <v>-26807</v>
      </c>
      <c r="AQ53" s="4">
        <f t="shared" si="19"/>
        <v>-199538</v>
      </c>
      <c r="AR53" s="4">
        <f t="shared" si="20"/>
        <v>0</v>
      </c>
      <c r="AS53" s="4">
        <f t="shared" si="21"/>
        <v>-564131</v>
      </c>
      <c r="AT53" s="4">
        <f t="shared" si="22"/>
        <v>-738503</v>
      </c>
      <c r="AU53" s="4">
        <f t="shared" si="23"/>
        <v>0</v>
      </c>
    </row>
    <row r="54" spans="1:47" x14ac:dyDescent="0.25">
      <c r="A54" t="s">
        <v>210</v>
      </c>
      <c r="B54">
        <v>34905</v>
      </c>
      <c r="C54" s="4">
        <f>VLOOKUP(B54,'ER Contributions'!A:D,4,FALSE)</f>
        <v>2157839.09</v>
      </c>
      <c r="D54" s="5">
        <f>VLOOKUP(B54,'ER Contributions'!A:D,3,FALSE)</f>
        <v>6.244E-4</v>
      </c>
      <c r="E54" s="6">
        <f>VLOOKUP(B54,'68 - Summary Exhibit'!A:N,3,FALSE)</f>
        <v>9251534</v>
      </c>
      <c r="F54" s="6">
        <f>VLOOKUP(B54,'68 - Summary Exhibit'!A:N,4,FALSE)</f>
        <v>833724</v>
      </c>
      <c r="G54" s="6">
        <f>VLOOKUP(B54,'68 - Summary Exhibit'!A:N,5,FALSE)</f>
        <v>1525534</v>
      </c>
      <c r="H54" s="6">
        <f>VLOOKUP(B54,'68 - Summary Exhibit'!A:N,6,FALSE)</f>
        <v>0</v>
      </c>
      <c r="I54" s="4">
        <f>VLOOKUP(B54,'68 - Summary Exhibit'!A:N,7,FALSE)</f>
        <v>118082</v>
      </c>
      <c r="J54" s="4">
        <f>VLOOKUP(B54,'68 - Summary Exhibit'!A:N,8,FALSE)</f>
        <v>27349</v>
      </c>
      <c r="K54" s="4">
        <f>VLOOKUP(B54,'68 - Summary Exhibit'!A:N,9,FALSE)</f>
        <v>0</v>
      </c>
      <c r="L54" s="4">
        <f>VLOOKUP(B54,'68 - Summary Exhibit'!A:N,10,FALSE)</f>
        <v>0</v>
      </c>
      <c r="M54" s="4">
        <f>VLOOKUP(B54,'68 - Summary Exhibit'!A:N,11,FALSE)</f>
        <v>167886</v>
      </c>
      <c r="N54" s="4">
        <f>VLOOKUP(B54,'68 - Summary Exhibit'!A:N,12,FALSE)</f>
        <v>2555760</v>
      </c>
      <c r="O54" s="4">
        <f>VLOOKUP(B54,'68 - Summary Exhibit'!A:N,13,FALSE)</f>
        <v>-102247</v>
      </c>
      <c r="P54" s="4">
        <f t="shared" si="12"/>
        <v>2453513</v>
      </c>
      <c r="Q54" s="4">
        <f>VLOOKUP(B54,'68- Deferred Amortization'!A:G,3,FALSE)</f>
        <v>643622.09248810576</v>
      </c>
      <c r="R54" s="4">
        <f>VLOOKUP(B54,'68- Deferred Amortization'!A:G,4,FALSE)</f>
        <v>1841234.1426503451</v>
      </c>
      <c r="S54" s="4">
        <f>VLOOKUP(B54,'68- Deferred Amortization'!A:G,5,FALSE)</f>
        <v>-39453.338400000001</v>
      </c>
      <c r="T54" s="4">
        <f>VLOOKUP(B54,'68- Deferred Amortization'!A:G,6,FALSE)</f>
        <v>-163297.45879999999</v>
      </c>
      <c r="U54" s="4">
        <f>VLOOKUP(B54,'68- Deferred Amortization'!A:G,7,FALSE)</f>
        <v>0</v>
      </c>
      <c r="V54" s="4">
        <f t="shared" si="13"/>
        <v>-2</v>
      </c>
      <c r="W54" s="4">
        <f t="shared" si="14"/>
        <v>0</v>
      </c>
      <c r="X54">
        <v>2</v>
      </c>
      <c r="AC54" s="6">
        <v>10918482</v>
      </c>
      <c r="AD54" s="6">
        <v>890115</v>
      </c>
      <c r="AE54" s="6">
        <v>3040796</v>
      </c>
      <c r="AF54" s="6">
        <v>383443</v>
      </c>
      <c r="AG54" s="4">
        <v>177123</v>
      </c>
      <c r="AH54" s="4">
        <v>80586</v>
      </c>
      <c r="AI54" s="4">
        <v>0</v>
      </c>
      <c r="AJ54" s="4">
        <v>0</v>
      </c>
      <c r="AK54" s="4">
        <v>166162</v>
      </c>
      <c r="AM54" s="4">
        <f t="shared" si="15"/>
        <v>-59041</v>
      </c>
      <c r="AN54" s="4">
        <f t="shared" si="16"/>
        <v>1724</v>
      </c>
      <c r="AO54" s="6">
        <f t="shared" si="17"/>
        <v>-56391</v>
      </c>
      <c r="AP54" s="4">
        <f t="shared" si="18"/>
        <v>-53237</v>
      </c>
      <c r="AQ54" s="4">
        <f t="shared" si="19"/>
        <v>-383443</v>
      </c>
      <c r="AR54" s="4">
        <f t="shared" si="20"/>
        <v>0</v>
      </c>
      <c r="AS54" s="4">
        <f t="shared" si="21"/>
        <v>-1666948</v>
      </c>
      <c r="AT54" s="4">
        <f t="shared" si="22"/>
        <v>-1515262</v>
      </c>
      <c r="AU54" s="4">
        <f t="shared" si="23"/>
        <v>0</v>
      </c>
    </row>
    <row r="55" spans="1:47" x14ac:dyDescent="0.25">
      <c r="A55" t="s">
        <v>211</v>
      </c>
      <c r="B55">
        <v>36205</v>
      </c>
      <c r="C55" s="4">
        <f>VLOOKUP(B55,'ER Contributions'!A:D,4,FALSE)</f>
        <v>995443.47000000009</v>
      </c>
      <c r="D55" s="5">
        <f>VLOOKUP(B55,'ER Contributions'!A:D,3,FALSE)</f>
        <v>3.0660000000000003E-4</v>
      </c>
      <c r="E55" s="6">
        <f>VLOOKUP(B55,'68 - Summary Exhibit'!A:N,3,FALSE)</f>
        <v>4542793</v>
      </c>
      <c r="F55" s="6">
        <f>VLOOKUP(B55,'68 - Summary Exhibit'!A:N,4,FALSE)</f>
        <v>409385</v>
      </c>
      <c r="G55" s="6">
        <f>VLOOKUP(B55,'68 - Summary Exhibit'!A:N,5,FALSE)</f>
        <v>749085</v>
      </c>
      <c r="H55" s="6">
        <f>VLOOKUP(B55,'68 - Summary Exhibit'!A:N,6,FALSE)</f>
        <v>0</v>
      </c>
      <c r="I55" s="4">
        <f>VLOOKUP(B55,'68 - Summary Exhibit'!A:N,7,FALSE)</f>
        <v>148702</v>
      </c>
      <c r="J55" s="4">
        <f>VLOOKUP(B55,'68 - Summary Exhibit'!A:N,8,FALSE)</f>
        <v>13429</v>
      </c>
      <c r="K55" s="4">
        <f>VLOOKUP(B55,'68 - Summary Exhibit'!A:N,9,FALSE)</f>
        <v>0</v>
      </c>
      <c r="L55" s="4">
        <f>VLOOKUP(B55,'68 - Summary Exhibit'!A:N,10,FALSE)</f>
        <v>0</v>
      </c>
      <c r="M55" s="4">
        <f>VLOOKUP(B55,'68 - Summary Exhibit'!A:N,11,FALSE)</f>
        <v>65528</v>
      </c>
      <c r="N55" s="4">
        <f>VLOOKUP(B55,'68 - Summary Exhibit'!A:N,12,FALSE)</f>
        <v>1254959</v>
      </c>
      <c r="O55" s="4">
        <f>VLOOKUP(B55,'68 - Summary Exhibit'!A:N,13,FALSE)</f>
        <v>-3070</v>
      </c>
      <c r="P55" s="4">
        <f t="shared" si="12"/>
        <v>1251889</v>
      </c>
      <c r="Q55" s="4">
        <f>VLOOKUP(B55,'68- Deferred Amortization'!A:G,3,FALSE)</f>
        <v>379508.96579920099</v>
      </c>
      <c r="R55" s="4">
        <f>VLOOKUP(B55,'68- Deferred Amortization'!A:G,4,FALSE)</f>
        <v>948262.33473594813</v>
      </c>
      <c r="S55" s="4">
        <f>VLOOKUP(B55,'68- Deferred Amortization'!A:G,5,FALSE)</f>
        <v>-19372.827600000001</v>
      </c>
      <c r="T55" s="4">
        <f>VLOOKUP(B55,'68- Deferred Amortization'!A:G,6,FALSE)</f>
        <v>-80184.178200000009</v>
      </c>
      <c r="U55" s="4">
        <f>VLOOKUP(B55,'68- Deferred Amortization'!A:G,7,FALSE)</f>
        <v>0</v>
      </c>
      <c r="V55" s="4">
        <f t="shared" si="13"/>
        <v>2</v>
      </c>
      <c r="W55" s="4">
        <f t="shared" si="14"/>
        <v>1</v>
      </c>
      <c r="X55">
        <v>2</v>
      </c>
      <c r="AC55" s="6">
        <v>4761518</v>
      </c>
      <c r="AD55" s="6">
        <v>388176</v>
      </c>
      <c r="AE55" s="6">
        <v>1326082</v>
      </c>
      <c r="AF55" s="6">
        <v>167218</v>
      </c>
      <c r="AG55" s="4">
        <v>0</v>
      </c>
      <c r="AH55" s="4">
        <v>35143</v>
      </c>
      <c r="AI55" s="4">
        <v>0</v>
      </c>
      <c r="AJ55" s="4">
        <v>0</v>
      </c>
      <c r="AK55" s="4">
        <v>142949</v>
      </c>
      <c r="AM55" s="4">
        <f t="shared" si="15"/>
        <v>148702</v>
      </c>
      <c r="AN55" s="4">
        <f t="shared" si="16"/>
        <v>-77421</v>
      </c>
      <c r="AO55" s="6">
        <f t="shared" si="17"/>
        <v>21209</v>
      </c>
      <c r="AP55" s="4">
        <f t="shared" si="18"/>
        <v>-21714</v>
      </c>
      <c r="AQ55" s="4">
        <f t="shared" si="19"/>
        <v>-167218</v>
      </c>
      <c r="AR55" s="4">
        <f t="shared" si="20"/>
        <v>0</v>
      </c>
      <c r="AS55" s="4">
        <f t="shared" si="21"/>
        <v>-218725</v>
      </c>
      <c r="AT55" s="4">
        <f t="shared" si="22"/>
        <v>-576997</v>
      </c>
      <c r="AU55" s="4">
        <f t="shared" si="23"/>
        <v>0</v>
      </c>
    </row>
    <row r="56" spans="1:47" x14ac:dyDescent="0.25">
      <c r="A56" t="s">
        <v>212</v>
      </c>
      <c r="B56">
        <v>36405</v>
      </c>
      <c r="C56" s="4">
        <f>VLOOKUP(B56,'ER Contributions'!A:D,4,FALSE)</f>
        <v>2329438.61</v>
      </c>
      <c r="D56" s="5">
        <f>VLOOKUP(B56,'ER Contributions'!A:D,3,FALSE)</f>
        <v>6.6040000000000001E-4</v>
      </c>
      <c r="E56" s="6">
        <f>VLOOKUP(B56,'68 - Summary Exhibit'!A:N,3,FALSE)</f>
        <v>9784934</v>
      </c>
      <c r="F56" s="6">
        <f>VLOOKUP(B56,'68 - Summary Exhibit'!A:N,4,FALSE)</f>
        <v>881792</v>
      </c>
      <c r="G56" s="6">
        <f>VLOOKUP(B56,'68 - Summary Exhibit'!A:N,5,FALSE)</f>
        <v>1613489</v>
      </c>
      <c r="H56" s="6">
        <f>VLOOKUP(B56,'68 - Summary Exhibit'!A:N,6,FALSE)</f>
        <v>0</v>
      </c>
      <c r="I56" s="4">
        <f>VLOOKUP(B56,'68 - Summary Exhibit'!A:N,7,FALSE)</f>
        <v>0</v>
      </c>
      <c r="J56" s="4">
        <f>VLOOKUP(B56,'68 - Summary Exhibit'!A:N,8,FALSE)</f>
        <v>28926</v>
      </c>
      <c r="K56" s="4">
        <f>VLOOKUP(B56,'68 - Summary Exhibit'!A:N,9,FALSE)</f>
        <v>0</v>
      </c>
      <c r="L56" s="4">
        <f>VLOOKUP(B56,'68 - Summary Exhibit'!A:N,10,FALSE)</f>
        <v>0</v>
      </c>
      <c r="M56" s="4">
        <f>VLOOKUP(B56,'68 - Summary Exhibit'!A:N,11,FALSE)</f>
        <v>513179</v>
      </c>
      <c r="N56" s="4">
        <f>VLOOKUP(B56,'68 - Summary Exhibit'!A:N,12,FALSE)</f>
        <v>2703114</v>
      </c>
      <c r="O56" s="4">
        <f>VLOOKUP(B56,'68 - Summary Exhibit'!A:N,13,FALSE)</f>
        <v>-403394</v>
      </c>
      <c r="P56" s="4">
        <f t="shared" si="12"/>
        <v>2299720</v>
      </c>
      <c r="Q56" s="4">
        <f>VLOOKUP(B56,'68- Deferred Amortization'!A:G,3,FALSE)</f>
        <v>464525.93886086019</v>
      </c>
      <c r="R56" s="4">
        <f>VLOOKUP(B56,'68- Deferred Amortization'!A:G,4,FALSE)</f>
        <v>1703091.6397622642</v>
      </c>
      <c r="S56" s="4">
        <f>VLOOKUP(B56,'68- Deferred Amortization'!A:G,5,FALSE)</f>
        <v>-41728.034399999997</v>
      </c>
      <c r="T56" s="4">
        <f>VLOOKUP(B56,'68- Deferred Amortization'!A:G,6,FALSE)</f>
        <v>-172712.4308</v>
      </c>
      <c r="U56" s="4">
        <f>VLOOKUP(B56,'68- Deferred Amortization'!A:G,7,FALSE)</f>
        <v>0</v>
      </c>
      <c r="V56" s="4">
        <f t="shared" si="13"/>
        <v>-1</v>
      </c>
      <c r="W56" s="4">
        <f t="shared" si="14"/>
        <v>-1</v>
      </c>
      <c r="X56">
        <v>2</v>
      </c>
      <c r="AC56" s="6">
        <v>12137204</v>
      </c>
      <c r="AD56" s="6">
        <v>989469</v>
      </c>
      <c r="AE56" s="6">
        <v>3380210</v>
      </c>
      <c r="AF56" s="6">
        <v>426243</v>
      </c>
      <c r="AG56" s="4">
        <v>0</v>
      </c>
      <c r="AH56" s="4">
        <v>89581</v>
      </c>
      <c r="AI56" s="4">
        <v>0</v>
      </c>
      <c r="AJ56" s="4">
        <v>0</v>
      </c>
      <c r="AK56" s="4">
        <v>430613</v>
      </c>
      <c r="AM56" s="4">
        <f t="shared" si="15"/>
        <v>0</v>
      </c>
      <c r="AN56" s="4">
        <f t="shared" si="16"/>
        <v>82566</v>
      </c>
      <c r="AO56" s="6">
        <f t="shared" si="17"/>
        <v>-107677</v>
      </c>
      <c r="AP56" s="4">
        <f t="shared" si="18"/>
        <v>-60655</v>
      </c>
      <c r="AQ56" s="4">
        <f t="shared" si="19"/>
        <v>-426243</v>
      </c>
      <c r="AR56" s="4">
        <f t="shared" si="20"/>
        <v>0</v>
      </c>
      <c r="AS56" s="4">
        <f t="shared" si="21"/>
        <v>-2352270</v>
      </c>
      <c r="AT56" s="4">
        <f t="shared" si="22"/>
        <v>-1766721</v>
      </c>
      <c r="AU56" s="4">
        <f t="shared" si="23"/>
        <v>0</v>
      </c>
    </row>
    <row r="57" spans="1:47" x14ac:dyDescent="0.25">
      <c r="A57" t="s">
        <v>213</v>
      </c>
      <c r="B57">
        <v>36905</v>
      </c>
      <c r="C57" s="4">
        <f>VLOOKUP(B57,'ER Contributions'!A:D,4,FALSE)</f>
        <v>671685.99</v>
      </c>
      <c r="D57" s="5">
        <f>VLOOKUP(B57,'ER Contributions'!A:D,3,FALSE)</f>
        <v>1.7990000000000001E-4</v>
      </c>
      <c r="E57" s="6">
        <f>VLOOKUP(B57,'68 - Summary Exhibit'!A:N,3,FALSE)</f>
        <v>2665520</v>
      </c>
      <c r="F57" s="6">
        <f>VLOOKUP(B57,'68 - Summary Exhibit'!A:N,4,FALSE)</f>
        <v>240210</v>
      </c>
      <c r="G57" s="6">
        <f>VLOOKUP(B57,'68 - Summary Exhibit'!A:N,5,FALSE)</f>
        <v>439532</v>
      </c>
      <c r="H57" s="6">
        <f>VLOOKUP(B57,'68 - Summary Exhibit'!A:N,6,FALSE)</f>
        <v>0</v>
      </c>
      <c r="I57" s="4">
        <f>VLOOKUP(B57,'68 - Summary Exhibit'!A:N,7,FALSE)</f>
        <v>0</v>
      </c>
      <c r="J57" s="4">
        <f>VLOOKUP(B57,'68 - Summary Exhibit'!A:N,8,FALSE)</f>
        <v>7880</v>
      </c>
      <c r="K57" s="4">
        <f>VLOOKUP(B57,'68 - Summary Exhibit'!A:N,9,FALSE)</f>
        <v>0</v>
      </c>
      <c r="L57" s="4">
        <f>VLOOKUP(B57,'68 - Summary Exhibit'!A:N,10,FALSE)</f>
        <v>0</v>
      </c>
      <c r="M57" s="4">
        <f>VLOOKUP(B57,'68 - Summary Exhibit'!A:N,11,FALSE)</f>
        <v>119658</v>
      </c>
      <c r="N57" s="4">
        <f>VLOOKUP(B57,'68 - Summary Exhibit'!A:N,12,FALSE)</f>
        <v>736357</v>
      </c>
      <c r="O57" s="4">
        <f>VLOOKUP(B57,'68 - Summary Exhibit'!A:N,13,FALSE)</f>
        <v>-79533</v>
      </c>
      <c r="P57" s="4">
        <f t="shared" si="12"/>
        <v>656824</v>
      </c>
      <c r="Q57" s="4">
        <f>VLOOKUP(B57,'68- Deferred Amortization'!A:G,3,FALSE)</f>
        <v>125431.46959937341</v>
      </c>
      <c r="R57" s="4">
        <f>VLOOKUP(B57,'68- Deferred Amortization'!A:G,4,FALSE)</f>
        <v>485188.1427786125</v>
      </c>
      <c r="S57" s="4">
        <f>VLOOKUP(B57,'68- Deferred Amortization'!A:G,5,FALSE)</f>
        <v>-11367.161400000001</v>
      </c>
      <c r="T57" s="4">
        <f>VLOOKUP(B57,'68- Deferred Amortization'!A:G,6,FALSE)</f>
        <v>-47048.707300000002</v>
      </c>
      <c r="U57" s="4">
        <f>VLOOKUP(B57,'68- Deferred Amortization'!A:G,7,FALSE)</f>
        <v>0</v>
      </c>
      <c r="V57" s="4">
        <f t="shared" si="13"/>
        <v>1</v>
      </c>
      <c r="W57" s="4">
        <f t="shared" si="14"/>
        <v>0</v>
      </c>
      <c r="X57">
        <v>2</v>
      </c>
      <c r="AC57" s="6">
        <v>3332729</v>
      </c>
      <c r="AD57" s="6">
        <v>271696</v>
      </c>
      <c r="AE57" s="6">
        <v>928165</v>
      </c>
      <c r="AF57" s="6">
        <v>117041</v>
      </c>
      <c r="AG57" s="4">
        <v>0</v>
      </c>
      <c r="AH57" s="4">
        <v>24598</v>
      </c>
      <c r="AI57" s="4">
        <v>0</v>
      </c>
      <c r="AJ57" s="4">
        <v>0</v>
      </c>
      <c r="AK57" s="4">
        <v>87754</v>
      </c>
      <c r="AM57" s="4">
        <f t="shared" si="15"/>
        <v>0</v>
      </c>
      <c r="AN57" s="4">
        <f t="shared" si="16"/>
        <v>31904</v>
      </c>
      <c r="AO57" s="6">
        <f t="shared" si="17"/>
        <v>-31486</v>
      </c>
      <c r="AP57" s="4">
        <f t="shared" si="18"/>
        <v>-16718</v>
      </c>
      <c r="AQ57" s="4">
        <f t="shared" si="19"/>
        <v>-117041</v>
      </c>
      <c r="AR57" s="4">
        <f t="shared" si="20"/>
        <v>0</v>
      </c>
      <c r="AS57" s="4">
        <f t="shared" si="21"/>
        <v>-667209</v>
      </c>
      <c r="AT57" s="4">
        <f t="shared" si="22"/>
        <v>-488633</v>
      </c>
      <c r="AU57" s="4">
        <f t="shared" si="23"/>
        <v>0</v>
      </c>
    </row>
    <row r="58" spans="1:47" x14ac:dyDescent="0.25">
      <c r="A58" t="s">
        <v>214</v>
      </c>
      <c r="B58">
        <v>37305</v>
      </c>
      <c r="C58" s="4">
        <f>VLOOKUP(B58,'ER Contributions'!A:D,4,FALSE)</f>
        <v>1535365.19</v>
      </c>
      <c r="D58" s="5">
        <f>VLOOKUP(B58,'ER Contributions'!A:D,3,FALSE)</f>
        <v>4.2349999999999999E-4</v>
      </c>
      <c r="E58" s="6">
        <f>VLOOKUP(B58,'68 - Summary Exhibit'!A:N,3,FALSE)</f>
        <v>6274863</v>
      </c>
      <c r="F58" s="6">
        <f>VLOOKUP(B58,'68 - Summary Exhibit'!A:N,4,FALSE)</f>
        <v>565474</v>
      </c>
      <c r="G58" s="6">
        <f>VLOOKUP(B58,'68 - Summary Exhibit'!A:N,5,FALSE)</f>
        <v>1034695</v>
      </c>
      <c r="H58" s="6">
        <f>VLOOKUP(B58,'68 - Summary Exhibit'!A:N,6,FALSE)</f>
        <v>0</v>
      </c>
      <c r="I58" s="4">
        <f>VLOOKUP(B58,'68 - Summary Exhibit'!A:N,7,FALSE)</f>
        <v>141031</v>
      </c>
      <c r="J58" s="4">
        <f>VLOOKUP(B58,'68 - Summary Exhibit'!A:N,8,FALSE)</f>
        <v>18549</v>
      </c>
      <c r="K58" s="4">
        <f>VLOOKUP(B58,'68 - Summary Exhibit'!A:N,9,FALSE)</f>
        <v>0</v>
      </c>
      <c r="L58" s="4">
        <f>VLOOKUP(B58,'68 - Summary Exhibit'!A:N,10,FALSE)</f>
        <v>0</v>
      </c>
      <c r="M58" s="4">
        <f>VLOOKUP(B58,'68 - Summary Exhibit'!A:N,11,FALSE)</f>
        <v>70839</v>
      </c>
      <c r="N58" s="4">
        <f>VLOOKUP(B58,'68 - Summary Exhibit'!A:N,12,FALSE)</f>
        <v>1733447</v>
      </c>
      <c r="O58" s="4">
        <f>VLOOKUP(B58,'68 - Summary Exhibit'!A:N,13,FALSE)</f>
        <v>70535</v>
      </c>
      <c r="P58" s="4">
        <f t="shared" si="12"/>
        <v>1803982</v>
      </c>
      <c r="Q58" s="4">
        <f>VLOOKUP(B58,'68- Deferred Amortization'!A:G,3,FALSE)</f>
        <v>539511.46947667282</v>
      </c>
      <c r="R58" s="4">
        <f>VLOOKUP(B58,'68- Deferred Amortization'!A:G,4,FALSE)</f>
        <v>1249817.2928006859</v>
      </c>
      <c r="S58" s="4">
        <f>VLOOKUP(B58,'68- Deferred Amortization'!A:G,5,FALSE)</f>
        <v>-26759.271000000001</v>
      </c>
      <c r="T58" s="4">
        <f>VLOOKUP(B58,'68- Deferred Amortization'!A:G,6,FALSE)</f>
        <v>-110756.6845</v>
      </c>
      <c r="U58" s="4">
        <f>VLOOKUP(B58,'68- Deferred Amortization'!A:G,7,FALSE)</f>
        <v>0</v>
      </c>
      <c r="V58" s="4">
        <f t="shared" si="13"/>
        <v>-1</v>
      </c>
      <c r="W58" s="4">
        <f t="shared" si="14"/>
        <v>-1</v>
      </c>
      <c r="X58">
        <v>2</v>
      </c>
      <c r="AC58" s="6">
        <v>7515730</v>
      </c>
      <c r="AD58" s="6">
        <v>612710</v>
      </c>
      <c r="AE58" s="6">
        <v>2093130</v>
      </c>
      <c r="AF58" s="6">
        <v>263942</v>
      </c>
      <c r="AG58" s="4">
        <v>246986</v>
      </c>
      <c r="AH58" s="4">
        <v>55471</v>
      </c>
      <c r="AI58" s="4">
        <v>0</v>
      </c>
      <c r="AJ58" s="4">
        <v>0</v>
      </c>
      <c r="AK58" s="4">
        <v>0</v>
      </c>
      <c r="AM58" s="4">
        <f t="shared" si="15"/>
        <v>-105955</v>
      </c>
      <c r="AN58" s="4">
        <f t="shared" si="16"/>
        <v>70839</v>
      </c>
      <c r="AO58" s="6">
        <f t="shared" si="17"/>
        <v>-47236</v>
      </c>
      <c r="AP58" s="4">
        <f t="shared" si="18"/>
        <v>-36922</v>
      </c>
      <c r="AQ58" s="4">
        <f t="shared" si="19"/>
        <v>-263942</v>
      </c>
      <c r="AR58" s="4">
        <f t="shared" si="20"/>
        <v>0</v>
      </c>
      <c r="AS58" s="4">
        <f t="shared" si="21"/>
        <v>-1240867</v>
      </c>
      <c r="AT58" s="4">
        <f t="shared" si="22"/>
        <v>-1058435</v>
      </c>
      <c r="AU58" s="4">
        <f t="shared" si="23"/>
        <v>0</v>
      </c>
    </row>
    <row r="59" spans="1:47" x14ac:dyDescent="0.25">
      <c r="A59" t="s">
        <v>215</v>
      </c>
      <c r="B59">
        <v>37405</v>
      </c>
      <c r="C59" s="4">
        <f>VLOOKUP(B59,'ER Contributions'!A:D,4,FALSE)</f>
        <v>5627435.2899999991</v>
      </c>
      <c r="D59" s="5">
        <f>VLOOKUP(B59,'ER Contributions'!A:D,3,FALSE)</f>
        <v>1.6341000000000001E-3</v>
      </c>
      <c r="E59" s="6">
        <f>VLOOKUP(B59,'68 - Summary Exhibit'!A:N,3,FALSE)</f>
        <v>24211934</v>
      </c>
      <c r="F59" s="6">
        <f>VLOOKUP(B59,'68 - Summary Exhibit'!A:N,4,FALSE)</f>
        <v>2181916</v>
      </c>
      <c r="G59" s="6">
        <f>VLOOKUP(B59,'68 - Summary Exhibit'!A:N,5,FALSE)</f>
        <v>3992433</v>
      </c>
      <c r="H59" s="6">
        <f>VLOOKUP(B59,'68 - Summary Exhibit'!A:N,6,FALSE)</f>
        <v>0</v>
      </c>
      <c r="I59" s="4">
        <f>VLOOKUP(B59,'68 - Summary Exhibit'!A:N,7,FALSE)</f>
        <v>0</v>
      </c>
      <c r="J59" s="4">
        <f>VLOOKUP(B59,'68 - Summary Exhibit'!A:N,8,FALSE)</f>
        <v>71574</v>
      </c>
      <c r="K59" s="4">
        <f>VLOOKUP(B59,'68 - Summary Exhibit'!A:N,9,FALSE)</f>
        <v>0</v>
      </c>
      <c r="L59" s="4">
        <f>VLOOKUP(B59,'68 - Summary Exhibit'!A:N,10,FALSE)</f>
        <v>0</v>
      </c>
      <c r="M59" s="4">
        <f>VLOOKUP(B59,'68 - Summary Exhibit'!A:N,11,FALSE)</f>
        <v>596707</v>
      </c>
      <c r="N59" s="4">
        <f>VLOOKUP(B59,'68 - Summary Exhibit'!A:N,12,FALSE)</f>
        <v>6688610</v>
      </c>
      <c r="O59" s="4">
        <f>VLOOKUP(B59,'68 - Summary Exhibit'!A:N,13,FALSE)</f>
        <v>-369651</v>
      </c>
      <c r="P59" s="4">
        <f t="shared" si="12"/>
        <v>6318959</v>
      </c>
      <c r="Q59" s="4">
        <f>VLOOKUP(B59,'68- Deferred Amortization'!A:G,3,FALSE)</f>
        <v>1470362.9511422336</v>
      </c>
      <c r="R59" s="4">
        <f>VLOOKUP(B59,'68- Deferred Amortization'!A:G,4,FALSE)</f>
        <v>4566318.9945781045</v>
      </c>
      <c r="S59" s="4">
        <f>VLOOKUP(B59,'68- Deferred Amortization'!A:G,5,FALSE)</f>
        <v>-103252.24260000001</v>
      </c>
      <c r="T59" s="4">
        <f>VLOOKUP(B59,'68- Deferred Amortization'!A:G,6,FALSE)</f>
        <v>-427361.27070000005</v>
      </c>
      <c r="U59" s="4">
        <f>VLOOKUP(B59,'68- Deferred Amortization'!A:G,7,FALSE)</f>
        <v>0</v>
      </c>
      <c r="V59" s="4">
        <f t="shared" si="13"/>
        <v>0</v>
      </c>
      <c r="W59" s="4">
        <f t="shared" si="14"/>
        <v>0</v>
      </c>
      <c r="X59">
        <v>2</v>
      </c>
      <c r="AC59" s="6">
        <v>28999247</v>
      </c>
      <c r="AD59" s="6">
        <v>2364125</v>
      </c>
      <c r="AE59" s="6">
        <v>8076288</v>
      </c>
      <c r="AF59" s="6">
        <v>1018415</v>
      </c>
      <c r="AG59" s="4">
        <v>0</v>
      </c>
      <c r="AH59" s="4">
        <v>214035</v>
      </c>
      <c r="AI59" s="4">
        <v>0</v>
      </c>
      <c r="AJ59" s="4">
        <v>0</v>
      </c>
      <c r="AK59" s="4">
        <v>259888</v>
      </c>
      <c r="AM59" s="4">
        <f t="shared" si="15"/>
        <v>0</v>
      </c>
      <c r="AN59" s="4">
        <f t="shared" si="16"/>
        <v>336819</v>
      </c>
      <c r="AO59" s="6">
        <f t="shared" si="17"/>
        <v>-182209</v>
      </c>
      <c r="AP59" s="4">
        <f t="shared" si="18"/>
        <v>-142461</v>
      </c>
      <c r="AQ59" s="4">
        <f t="shared" si="19"/>
        <v>-1018415</v>
      </c>
      <c r="AR59" s="4">
        <f t="shared" si="20"/>
        <v>0</v>
      </c>
      <c r="AS59" s="4">
        <f t="shared" si="21"/>
        <v>-4787313</v>
      </c>
      <c r="AT59" s="4">
        <f t="shared" si="22"/>
        <v>-4083855</v>
      </c>
      <c r="AU59" s="4">
        <f t="shared" si="23"/>
        <v>0</v>
      </c>
    </row>
    <row r="60" spans="1:47" x14ac:dyDescent="0.25">
      <c r="A60" t="s">
        <v>216</v>
      </c>
      <c r="B60">
        <v>37605</v>
      </c>
      <c r="C60" s="4">
        <f>VLOOKUP(B60,'ER Contributions'!A:D,4,FALSE)</f>
        <v>2293376.6999999997</v>
      </c>
      <c r="D60" s="5">
        <f>VLOOKUP(B60,'ER Contributions'!A:D,3,FALSE)</f>
        <v>6.7469999999999997E-4</v>
      </c>
      <c r="E60" s="6">
        <f>VLOOKUP(B60,'68 - Summary Exhibit'!A:N,3,FALSE)</f>
        <v>9996813</v>
      </c>
      <c r="F60" s="6">
        <f>VLOOKUP(B60,'68 - Summary Exhibit'!A:N,4,FALSE)</f>
        <v>900886</v>
      </c>
      <c r="G60" s="6">
        <f>VLOOKUP(B60,'68 - Summary Exhibit'!A:N,5,FALSE)</f>
        <v>1648427</v>
      </c>
      <c r="H60" s="6">
        <f>VLOOKUP(B60,'68 - Summary Exhibit'!A:N,6,FALSE)</f>
        <v>0</v>
      </c>
      <c r="I60" s="4">
        <f>VLOOKUP(B60,'68 - Summary Exhibit'!A:N,7,FALSE)</f>
        <v>36398</v>
      </c>
      <c r="J60" s="4">
        <f>VLOOKUP(B60,'68 - Summary Exhibit'!A:N,8,FALSE)</f>
        <v>29552</v>
      </c>
      <c r="K60" s="4">
        <f>VLOOKUP(B60,'68 - Summary Exhibit'!A:N,9,FALSE)</f>
        <v>0</v>
      </c>
      <c r="L60" s="4">
        <f>VLOOKUP(B60,'68 - Summary Exhibit'!A:N,10,FALSE)</f>
        <v>0</v>
      </c>
      <c r="M60" s="4">
        <f>VLOOKUP(B60,'68 - Summary Exhibit'!A:N,11,FALSE)</f>
        <v>84739</v>
      </c>
      <c r="N60" s="4">
        <f>VLOOKUP(B60,'68 - Summary Exhibit'!A:N,12,FALSE)</f>
        <v>2761646</v>
      </c>
      <c r="O60" s="4">
        <f>VLOOKUP(B60,'68 - Summary Exhibit'!A:N,13,FALSE)</f>
        <v>-96521</v>
      </c>
      <c r="P60" s="4">
        <f t="shared" si="12"/>
        <v>2665125</v>
      </c>
      <c r="Q60" s="4">
        <f>VLOOKUP(B60,'68- Deferred Amortization'!A:G,3,FALSE)</f>
        <v>708813.58141529991</v>
      </c>
      <c r="R60" s="4">
        <f>VLOOKUP(B60,'68- Deferred Amortization'!A:G,4,FALSE)</f>
        <v>1981691.4209974385</v>
      </c>
      <c r="S60" s="4">
        <f>VLOOKUP(B60,'68- Deferred Amortization'!A:G,5,FALSE)</f>
        <v>-42631.5942</v>
      </c>
      <c r="T60" s="4">
        <f>VLOOKUP(B60,'68- Deferred Amortization'!A:G,6,FALSE)</f>
        <v>-176452.26689999999</v>
      </c>
      <c r="U60" s="4">
        <f>VLOOKUP(B60,'68- Deferred Amortization'!A:G,7,FALSE)</f>
        <v>0</v>
      </c>
      <c r="V60" s="4">
        <f t="shared" si="13"/>
        <v>-1</v>
      </c>
      <c r="W60" s="4">
        <f t="shared" si="14"/>
        <v>-1</v>
      </c>
      <c r="X60">
        <v>2</v>
      </c>
      <c r="AC60" s="6">
        <v>11358622</v>
      </c>
      <c r="AD60" s="6">
        <v>925996</v>
      </c>
      <c r="AE60" s="6">
        <v>3163375</v>
      </c>
      <c r="AF60" s="6">
        <v>398900</v>
      </c>
      <c r="AG60" s="4">
        <v>0</v>
      </c>
      <c r="AH60" s="4">
        <v>83835</v>
      </c>
      <c r="AI60" s="4">
        <v>0</v>
      </c>
      <c r="AJ60" s="4">
        <v>0</v>
      </c>
      <c r="AK60" s="4">
        <v>199458</v>
      </c>
      <c r="AM60" s="4">
        <f t="shared" si="15"/>
        <v>36398</v>
      </c>
      <c r="AN60" s="4">
        <f t="shared" si="16"/>
        <v>-114719</v>
      </c>
      <c r="AO60" s="6">
        <f t="shared" si="17"/>
        <v>-25110</v>
      </c>
      <c r="AP60" s="4">
        <f t="shared" si="18"/>
        <v>-54283</v>
      </c>
      <c r="AQ60" s="4">
        <f t="shared" si="19"/>
        <v>-398900</v>
      </c>
      <c r="AR60" s="4">
        <f t="shared" si="20"/>
        <v>0</v>
      </c>
      <c r="AS60" s="4">
        <f t="shared" si="21"/>
        <v>-1361809</v>
      </c>
      <c r="AT60" s="4">
        <f t="shared" si="22"/>
        <v>-1514948</v>
      </c>
      <c r="AU60" s="4">
        <f t="shared" si="23"/>
        <v>0</v>
      </c>
    </row>
    <row r="61" spans="1:47" x14ac:dyDescent="0.25">
      <c r="A61" t="s">
        <v>217</v>
      </c>
      <c r="B61">
        <v>37705</v>
      </c>
      <c r="C61" s="4">
        <f>VLOOKUP(B61,'ER Contributions'!A:D,4,FALSE)</f>
        <v>2491233.86</v>
      </c>
      <c r="D61" s="5">
        <f>VLOOKUP(B61,'ER Contributions'!A:D,3,FALSE)</f>
        <v>7.2090000000000001E-4</v>
      </c>
      <c r="E61" s="6">
        <f>VLOOKUP(B61,'68 - Summary Exhibit'!A:N,3,FALSE)</f>
        <v>10681343</v>
      </c>
      <c r="F61" s="6">
        <f>VLOOKUP(B61,'68 - Summary Exhibit'!A:N,4,FALSE)</f>
        <v>962575</v>
      </c>
      <c r="G61" s="6">
        <f>VLOOKUP(B61,'68 - Summary Exhibit'!A:N,5,FALSE)</f>
        <v>1761303</v>
      </c>
      <c r="H61" s="6">
        <f>VLOOKUP(B61,'68 - Summary Exhibit'!A:N,6,FALSE)</f>
        <v>0</v>
      </c>
      <c r="I61" s="4">
        <f>VLOOKUP(B61,'68 - Summary Exhibit'!A:N,7,FALSE)</f>
        <v>196659</v>
      </c>
      <c r="J61" s="4">
        <f>VLOOKUP(B61,'68 - Summary Exhibit'!A:N,8,FALSE)</f>
        <v>31575</v>
      </c>
      <c r="K61" s="4">
        <f>VLOOKUP(B61,'68 - Summary Exhibit'!A:N,9,FALSE)</f>
        <v>0</v>
      </c>
      <c r="L61" s="4">
        <f>VLOOKUP(B61,'68 - Summary Exhibit'!A:N,10,FALSE)</f>
        <v>0</v>
      </c>
      <c r="M61" s="4">
        <f>VLOOKUP(B61,'68 - Summary Exhibit'!A:N,11,FALSE)</f>
        <v>93559</v>
      </c>
      <c r="N61" s="4">
        <f>VLOOKUP(B61,'68 - Summary Exhibit'!A:N,12,FALSE)</f>
        <v>2950749</v>
      </c>
      <c r="O61" s="4">
        <f>VLOOKUP(B61,'68 - Summary Exhibit'!A:N,13,FALSE)</f>
        <v>-6766</v>
      </c>
      <c r="P61" s="4">
        <f t="shared" si="12"/>
        <v>2943983</v>
      </c>
      <c r="Q61" s="4">
        <f>VLOOKUP(B61,'68- Deferred Amortization'!A:G,3,FALSE)</f>
        <v>834727.18607897765</v>
      </c>
      <c r="R61" s="4">
        <f>VLOOKUP(B61,'68- Deferred Amortization'!A:G,4,FALSE)</f>
        <v>2194759.9898631955</v>
      </c>
      <c r="S61" s="4">
        <f>VLOOKUP(B61,'68- Deferred Amortization'!A:G,5,FALSE)</f>
        <v>-45550.787400000001</v>
      </c>
      <c r="T61" s="4">
        <f>VLOOKUP(B61,'68- Deferred Amortization'!A:G,6,FALSE)</f>
        <v>-188534.8143</v>
      </c>
      <c r="U61" s="4">
        <f>VLOOKUP(B61,'68- Deferred Amortization'!A:G,7,FALSE)</f>
        <v>0</v>
      </c>
      <c r="V61" s="4">
        <f t="shared" si="13"/>
        <v>3</v>
      </c>
      <c r="W61" s="4">
        <f t="shared" si="14"/>
        <v>1</v>
      </c>
      <c r="X61">
        <v>2</v>
      </c>
      <c r="AC61" s="6">
        <v>12415626</v>
      </c>
      <c r="AD61" s="6">
        <v>1012167</v>
      </c>
      <c r="AE61" s="6">
        <v>3457751</v>
      </c>
      <c r="AF61" s="6">
        <v>436020</v>
      </c>
      <c r="AG61" s="4">
        <v>294988</v>
      </c>
      <c r="AH61" s="4">
        <v>91636</v>
      </c>
      <c r="AI61" s="4">
        <v>0</v>
      </c>
      <c r="AJ61" s="4">
        <v>0</v>
      </c>
      <c r="AK61" s="4">
        <v>126858</v>
      </c>
      <c r="AM61" s="4">
        <f t="shared" si="15"/>
        <v>-98329</v>
      </c>
      <c r="AN61" s="4">
        <f t="shared" si="16"/>
        <v>-33299</v>
      </c>
      <c r="AO61" s="6">
        <f t="shared" si="17"/>
        <v>-49592</v>
      </c>
      <c r="AP61" s="4">
        <f t="shared" si="18"/>
        <v>-60061</v>
      </c>
      <c r="AQ61" s="4">
        <f t="shared" si="19"/>
        <v>-436020</v>
      </c>
      <c r="AR61" s="4">
        <f t="shared" si="20"/>
        <v>0</v>
      </c>
      <c r="AS61" s="4">
        <f t="shared" si="21"/>
        <v>-1734283</v>
      </c>
      <c r="AT61" s="4">
        <f t="shared" si="22"/>
        <v>-1696448</v>
      </c>
      <c r="AU61" s="4">
        <f t="shared" si="23"/>
        <v>0</v>
      </c>
    </row>
    <row r="62" spans="1:47" x14ac:dyDescent="0.25">
      <c r="A62" t="s">
        <v>218</v>
      </c>
      <c r="B62">
        <v>34605</v>
      </c>
      <c r="C62" s="4">
        <f>VLOOKUP(B62,'ER Contributions'!A:D,4,FALSE)</f>
        <v>639102.54999999958</v>
      </c>
      <c r="D62" s="5">
        <f>VLOOKUP(B62,'ER Contributions'!A:D,3,FALSE)</f>
        <v>2.0680000000000001E-4</v>
      </c>
      <c r="E62" s="6">
        <f>VLOOKUP(B62,'68 - Summary Exhibit'!A:N,3,FALSE)</f>
        <v>3064089</v>
      </c>
      <c r="F62" s="6">
        <f>VLOOKUP(B62,'68 - Summary Exhibit'!A:N,4,FALSE)</f>
        <v>276128</v>
      </c>
      <c r="G62" s="6">
        <f>VLOOKUP(B62,'68 - Summary Exhibit'!A:N,5,FALSE)</f>
        <v>505254</v>
      </c>
      <c r="H62" s="6">
        <f>VLOOKUP(B62,'68 - Summary Exhibit'!A:N,6,FALSE)</f>
        <v>0</v>
      </c>
      <c r="I62" s="4">
        <f>VLOOKUP(B62,'68 - Summary Exhibit'!A:N,7,FALSE)</f>
        <v>176029</v>
      </c>
      <c r="J62" s="4">
        <f>VLOOKUP(B62,'68 - Summary Exhibit'!A:N,8,FALSE)</f>
        <v>9058</v>
      </c>
      <c r="K62" s="4">
        <f>VLOOKUP(B62,'68 - Summary Exhibit'!A:N,9,FALSE)</f>
        <v>0</v>
      </c>
      <c r="L62" s="4">
        <f>VLOOKUP(B62,'68 - Summary Exhibit'!A:N,10,FALSE)</f>
        <v>0</v>
      </c>
      <c r="M62" s="4">
        <f>VLOOKUP(B62,'68 - Summary Exhibit'!A:N,11,FALSE)</f>
        <v>0</v>
      </c>
      <c r="N62" s="4">
        <f>VLOOKUP(B62,'68 - Summary Exhibit'!A:N,12,FALSE)</f>
        <v>846463</v>
      </c>
      <c r="O62" s="4">
        <f>VLOOKUP(B62,'68 - Summary Exhibit'!A:N,13,FALSE)</f>
        <v>85791</v>
      </c>
      <c r="P62" s="4">
        <f t="shared" si="12"/>
        <v>932254</v>
      </c>
      <c r="Q62" s="4">
        <f>VLOOKUP(B62,'68- Deferred Amortization'!A:G,3,FALSE)</f>
        <v>341301.62246080075</v>
      </c>
      <c r="R62" s="4">
        <f>VLOOKUP(B62,'68- Deferred Amortization'!A:G,4,FALSE)</f>
        <v>674201.98021819885</v>
      </c>
      <c r="S62" s="4">
        <f>VLOOKUP(B62,'68- Deferred Amortization'!A:G,5,FALSE)</f>
        <v>-13066.864800000001</v>
      </c>
      <c r="T62" s="4">
        <f>VLOOKUP(B62,'68- Deferred Amortization'!A:G,6,FALSE)</f>
        <v>-54083.783600000002</v>
      </c>
      <c r="U62" s="4">
        <f>VLOOKUP(B62,'68- Deferred Amortization'!A:G,7,FALSE)</f>
        <v>0</v>
      </c>
      <c r="V62" s="4">
        <f t="shared" si="13"/>
        <v>-2</v>
      </c>
      <c r="W62" s="4">
        <f t="shared" si="14"/>
        <v>0</v>
      </c>
      <c r="X62">
        <v>2</v>
      </c>
      <c r="AC62" s="6">
        <v>3247702</v>
      </c>
      <c r="AD62" s="6">
        <v>264765</v>
      </c>
      <c r="AE62" s="6">
        <v>904485</v>
      </c>
      <c r="AF62" s="6">
        <v>114055</v>
      </c>
      <c r="AG62" s="4">
        <v>190075</v>
      </c>
      <c r="AH62" s="4">
        <v>23970</v>
      </c>
      <c r="AI62" s="4">
        <v>0</v>
      </c>
      <c r="AJ62" s="4">
        <v>0</v>
      </c>
      <c r="AK62" s="4">
        <v>24291</v>
      </c>
      <c r="AM62" s="4">
        <f t="shared" si="15"/>
        <v>-14046</v>
      </c>
      <c r="AN62" s="4">
        <f t="shared" si="16"/>
        <v>-24291</v>
      </c>
      <c r="AO62" s="6">
        <f t="shared" si="17"/>
        <v>11363</v>
      </c>
      <c r="AP62" s="4">
        <f t="shared" si="18"/>
        <v>-14912</v>
      </c>
      <c r="AQ62" s="4">
        <f t="shared" si="19"/>
        <v>-114055</v>
      </c>
      <c r="AR62" s="4">
        <f t="shared" si="20"/>
        <v>0</v>
      </c>
      <c r="AS62" s="4">
        <f t="shared" si="21"/>
        <v>-183613</v>
      </c>
      <c r="AT62" s="4">
        <f t="shared" si="22"/>
        <v>-399231</v>
      </c>
      <c r="AU62" s="4">
        <f t="shared" si="23"/>
        <v>0</v>
      </c>
    </row>
    <row r="63" spans="1:47" x14ac:dyDescent="0.25">
      <c r="A63" t="s">
        <v>219</v>
      </c>
      <c r="B63">
        <v>37805</v>
      </c>
      <c r="C63" s="4">
        <f>VLOOKUP(B63,'ER Contributions'!A:D,4,FALSE)</f>
        <v>2158085.3099999996</v>
      </c>
      <c r="D63" s="5">
        <f>VLOOKUP(B63,'ER Contributions'!A:D,3,FALSE)</f>
        <v>6.2679999999999995E-4</v>
      </c>
      <c r="E63" s="6">
        <f>VLOOKUP(B63,'68 - Summary Exhibit'!A:N,3,FALSE)</f>
        <v>9287094</v>
      </c>
      <c r="F63" s="6">
        <f>VLOOKUP(B63,'68 - Summary Exhibit'!A:N,4,FALSE)</f>
        <v>836928</v>
      </c>
      <c r="G63" s="6">
        <f>VLOOKUP(B63,'68 - Summary Exhibit'!A:N,5,FALSE)</f>
        <v>1531398</v>
      </c>
      <c r="H63" s="6">
        <f>VLOOKUP(B63,'68 - Summary Exhibit'!A:N,6,FALSE)</f>
        <v>0</v>
      </c>
      <c r="I63" s="4">
        <f>VLOOKUP(B63,'68 - Summary Exhibit'!A:N,7,FALSE)</f>
        <v>200172</v>
      </c>
      <c r="J63" s="4">
        <f>VLOOKUP(B63,'68 - Summary Exhibit'!A:N,8,FALSE)</f>
        <v>27454</v>
      </c>
      <c r="K63" s="4">
        <f>VLOOKUP(B63,'68 - Summary Exhibit'!A:N,9,FALSE)</f>
        <v>0</v>
      </c>
      <c r="L63" s="4">
        <f>VLOOKUP(B63,'68 - Summary Exhibit'!A:N,10,FALSE)</f>
        <v>0</v>
      </c>
      <c r="M63" s="4">
        <f>VLOOKUP(B63,'68 - Summary Exhibit'!A:N,11,FALSE)</f>
        <v>0</v>
      </c>
      <c r="N63" s="4">
        <f>VLOOKUP(B63,'68 - Summary Exhibit'!A:N,12,FALSE)</f>
        <v>2565584</v>
      </c>
      <c r="O63" s="4">
        <f>VLOOKUP(B63,'68 - Summary Exhibit'!A:N,13,FALSE)</f>
        <v>150793</v>
      </c>
      <c r="P63" s="4">
        <f t="shared" si="12"/>
        <v>2716377</v>
      </c>
      <c r="Q63" s="4">
        <f>VLOOKUP(B63,'68- Deferred Amortization'!A:G,3,FALSE)</f>
        <v>832736.97627549933</v>
      </c>
      <c r="R63" s="4">
        <f>VLOOKUP(B63,'68- Deferred Amortization'!A:G,4,FALSE)</f>
        <v>1911837.8387368016</v>
      </c>
      <c r="S63" s="4">
        <f>VLOOKUP(B63,'68- Deferred Amortization'!A:G,5,FALSE)</f>
        <v>-39604.984799999998</v>
      </c>
      <c r="T63" s="4">
        <f>VLOOKUP(B63,'68- Deferred Amortization'!A:G,6,FALSE)</f>
        <v>-163925.12359999999</v>
      </c>
      <c r="U63" s="4">
        <f>VLOOKUP(B63,'68- Deferred Amortization'!A:G,7,FALSE)</f>
        <v>0</v>
      </c>
      <c r="V63" s="4">
        <f t="shared" si="13"/>
        <v>0</v>
      </c>
      <c r="W63" s="4">
        <f t="shared" si="14"/>
        <v>-1</v>
      </c>
      <c r="X63">
        <v>2</v>
      </c>
      <c r="AC63" s="6">
        <v>10508351</v>
      </c>
      <c r="AD63" s="6">
        <v>856679</v>
      </c>
      <c r="AE63" s="6">
        <v>2926575</v>
      </c>
      <c r="AF63" s="6">
        <v>369039</v>
      </c>
      <c r="AG63" s="4">
        <v>245859</v>
      </c>
      <c r="AH63" s="4">
        <v>77559</v>
      </c>
      <c r="AI63" s="4">
        <v>0</v>
      </c>
      <c r="AJ63" s="4">
        <v>0</v>
      </c>
      <c r="AK63" s="4">
        <v>0</v>
      </c>
      <c r="AM63" s="4">
        <f t="shared" si="15"/>
        <v>-45687</v>
      </c>
      <c r="AN63" s="4">
        <f t="shared" si="16"/>
        <v>0</v>
      </c>
      <c r="AO63" s="6">
        <f t="shared" si="17"/>
        <v>-19751</v>
      </c>
      <c r="AP63" s="4">
        <f t="shared" si="18"/>
        <v>-50105</v>
      </c>
      <c r="AQ63" s="4">
        <f t="shared" si="19"/>
        <v>-369039</v>
      </c>
      <c r="AR63" s="4">
        <f t="shared" si="20"/>
        <v>0</v>
      </c>
      <c r="AS63" s="4">
        <f t="shared" si="21"/>
        <v>-1221257</v>
      </c>
      <c r="AT63" s="4">
        <f t="shared" si="22"/>
        <v>-1395177</v>
      </c>
      <c r="AU63" s="4">
        <f t="shared" si="23"/>
        <v>0</v>
      </c>
    </row>
    <row r="64" spans="1:47" x14ac:dyDescent="0.25">
      <c r="A64" t="s">
        <v>220</v>
      </c>
      <c r="B64">
        <v>37905</v>
      </c>
      <c r="C64" s="4">
        <f>VLOOKUP(B64,'ER Contributions'!A:D,4,FALSE)</f>
        <v>1538692.7299999997</v>
      </c>
      <c r="D64" s="5">
        <f>VLOOKUP(B64,'ER Contributions'!A:D,3,FALSE)</f>
        <v>4.3889999999999999E-4</v>
      </c>
      <c r="E64" s="6">
        <f>VLOOKUP(B64,'68 - Summary Exhibit'!A:N,3,FALSE)</f>
        <v>6503040</v>
      </c>
      <c r="F64" s="6">
        <f>VLOOKUP(B64,'68 - Summary Exhibit'!A:N,4,FALSE)</f>
        <v>586037</v>
      </c>
      <c r="G64" s="6">
        <f>VLOOKUP(B64,'68 - Summary Exhibit'!A:N,5,FALSE)</f>
        <v>1072320</v>
      </c>
      <c r="H64" s="6">
        <f>VLOOKUP(B64,'68 - Summary Exhibit'!A:N,6,FALSE)</f>
        <v>0</v>
      </c>
      <c r="I64" s="4">
        <f>VLOOKUP(B64,'68 - Summary Exhibit'!A:N,7,FALSE)</f>
        <v>98409</v>
      </c>
      <c r="J64" s="4">
        <f>VLOOKUP(B64,'68 - Summary Exhibit'!A:N,8,FALSE)</f>
        <v>19224</v>
      </c>
      <c r="K64" s="4">
        <f>VLOOKUP(B64,'68 - Summary Exhibit'!A:N,9,FALSE)</f>
        <v>0</v>
      </c>
      <c r="L64" s="4">
        <f>VLOOKUP(B64,'68 - Summary Exhibit'!A:N,10,FALSE)</f>
        <v>0</v>
      </c>
      <c r="M64" s="4">
        <f>VLOOKUP(B64,'68 - Summary Exhibit'!A:N,11,FALSE)</f>
        <v>6809</v>
      </c>
      <c r="N64" s="4">
        <f>VLOOKUP(B64,'68 - Summary Exhibit'!A:N,12,FALSE)</f>
        <v>1796482</v>
      </c>
      <c r="O64" s="4">
        <f>VLOOKUP(B64,'68 - Summary Exhibit'!A:N,13,FALSE)</f>
        <v>91740</v>
      </c>
      <c r="P64" s="4">
        <f t="shared" si="12"/>
        <v>1888222</v>
      </c>
      <c r="Q64" s="4">
        <f>VLOOKUP(B64,'68- Deferred Amortization'!A:G,3,FALSE)</f>
        <v>533121.55904064199</v>
      </c>
      <c r="R64" s="4">
        <f>VLOOKUP(B64,'68- Deferred Amortization'!A:G,4,FALSE)</f>
        <v>1340128.59179641</v>
      </c>
      <c r="S64" s="4">
        <f>VLOOKUP(B64,'68- Deferred Amortization'!A:G,5,FALSE)</f>
        <v>-27732.3354</v>
      </c>
      <c r="T64" s="4">
        <f>VLOOKUP(B64,'68- Deferred Amortization'!A:G,6,FALSE)</f>
        <v>-114784.2003</v>
      </c>
      <c r="U64" s="4">
        <f>VLOOKUP(B64,'68- Deferred Amortization'!A:G,7,FALSE)</f>
        <v>0</v>
      </c>
      <c r="V64" s="4">
        <f t="shared" si="13"/>
        <v>0</v>
      </c>
      <c r="W64" s="4">
        <f t="shared" si="14"/>
        <v>-1</v>
      </c>
      <c r="X64">
        <v>2</v>
      </c>
      <c r="AC64" s="6">
        <v>7312332</v>
      </c>
      <c r="AD64" s="6">
        <v>596128</v>
      </c>
      <c r="AE64" s="6">
        <v>2036484</v>
      </c>
      <c r="AF64" s="6">
        <v>256799</v>
      </c>
      <c r="AG64" s="4">
        <v>67730</v>
      </c>
      <c r="AH64" s="4">
        <v>53970</v>
      </c>
      <c r="AI64" s="4">
        <v>0</v>
      </c>
      <c r="AJ64" s="4">
        <v>0</v>
      </c>
      <c r="AK64" s="4">
        <v>13617</v>
      </c>
      <c r="AM64" s="4">
        <f t="shared" si="15"/>
        <v>30679</v>
      </c>
      <c r="AN64" s="4">
        <f t="shared" si="16"/>
        <v>-6808</v>
      </c>
      <c r="AO64" s="6">
        <f t="shared" si="17"/>
        <v>-10091</v>
      </c>
      <c r="AP64" s="4">
        <f t="shared" si="18"/>
        <v>-34746</v>
      </c>
      <c r="AQ64" s="4">
        <f t="shared" si="19"/>
        <v>-256799</v>
      </c>
      <c r="AR64" s="4">
        <f t="shared" si="20"/>
        <v>0</v>
      </c>
      <c r="AS64" s="4">
        <f t="shared" si="21"/>
        <v>-809292</v>
      </c>
      <c r="AT64" s="4">
        <f t="shared" si="22"/>
        <v>-964164</v>
      </c>
      <c r="AU64" s="4">
        <f t="shared" si="23"/>
        <v>0</v>
      </c>
    </row>
    <row r="65" spans="1:47" x14ac:dyDescent="0.25">
      <c r="A65" t="s">
        <v>221</v>
      </c>
      <c r="B65">
        <v>38005</v>
      </c>
      <c r="C65" s="4">
        <f>VLOOKUP(B65,'ER Contributions'!A:D,4,FALSE)</f>
        <v>4816339.33</v>
      </c>
      <c r="D65" s="5">
        <f>VLOOKUP(B65,'ER Contributions'!A:D,3,FALSE)</f>
        <v>1.477E-3</v>
      </c>
      <c r="E65" s="6">
        <f>VLOOKUP(B65,'68 - Summary Exhibit'!A:N,3,FALSE)</f>
        <v>21884233</v>
      </c>
      <c r="F65" s="6">
        <f>VLOOKUP(B65,'68 - Summary Exhibit'!A:N,4,FALSE)</f>
        <v>1972149</v>
      </c>
      <c r="G65" s="6">
        <f>VLOOKUP(B65,'68 - Summary Exhibit'!A:N,5,FALSE)</f>
        <v>3608606</v>
      </c>
      <c r="H65" s="6">
        <f>VLOOKUP(B65,'68 - Summary Exhibit'!A:N,6,FALSE)</f>
        <v>0</v>
      </c>
      <c r="I65" s="4">
        <f>VLOOKUP(B65,'68 - Summary Exhibit'!A:N,7,FALSE)</f>
        <v>369635</v>
      </c>
      <c r="J65" s="4">
        <f>VLOOKUP(B65,'68 - Summary Exhibit'!A:N,8,FALSE)</f>
        <v>64693</v>
      </c>
      <c r="K65" s="4">
        <f>VLOOKUP(B65,'68 - Summary Exhibit'!A:N,9,FALSE)</f>
        <v>0</v>
      </c>
      <c r="L65" s="4">
        <f>VLOOKUP(B65,'68 - Summary Exhibit'!A:N,10,FALSE)</f>
        <v>0</v>
      </c>
      <c r="M65" s="4">
        <f>VLOOKUP(B65,'68 - Summary Exhibit'!A:N,11,FALSE)</f>
        <v>0</v>
      </c>
      <c r="N65" s="4">
        <f>VLOOKUP(B65,'68 - Summary Exhibit'!A:N,12,FALSE)</f>
        <v>6045577</v>
      </c>
      <c r="O65" s="4">
        <f>VLOOKUP(B65,'68 - Summary Exhibit'!A:N,13,FALSE)</f>
        <v>220913</v>
      </c>
      <c r="P65" s="4">
        <f t="shared" si="12"/>
        <v>6266490</v>
      </c>
      <c r="Q65" s="4">
        <f>VLOOKUP(B65,'68- Deferred Amortization'!A:G,3,FALSE)</f>
        <v>1863457.1452232837</v>
      </c>
      <c r="R65" s="4">
        <f>VLOOKUP(B65,'68- Deferred Amortization'!A:G,4,FALSE)</f>
        <v>4501842.2490837779</v>
      </c>
      <c r="S65" s="4">
        <f>VLOOKUP(B65,'68- Deferred Amortization'!A:G,5,FALSE)</f>
        <v>-93325.721999999994</v>
      </c>
      <c r="T65" s="4">
        <f>VLOOKUP(B65,'68- Deferred Amortization'!A:G,6,FALSE)</f>
        <v>-386275.37900000002</v>
      </c>
      <c r="U65" s="4">
        <f>VLOOKUP(B65,'68- Deferred Amortization'!A:G,7,FALSE)</f>
        <v>0</v>
      </c>
      <c r="V65" s="4">
        <f t="shared" si="13"/>
        <v>1</v>
      </c>
      <c r="W65" s="4">
        <f t="shared" si="14"/>
        <v>-1</v>
      </c>
      <c r="X65">
        <v>2</v>
      </c>
      <c r="AC65" s="6">
        <v>24081012</v>
      </c>
      <c r="AD65" s="6">
        <v>1963172</v>
      </c>
      <c r="AE65" s="6">
        <v>6706560</v>
      </c>
      <c r="AF65" s="6">
        <v>845693</v>
      </c>
      <c r="AG65" s="4">
        <v>194936</v>
      </c>
      <c r="AH65" s="4">
        <v>177735</v>
      </c>
      <c r="AI65" s="4">
        <v>0</v>
      </c>
      <c r="AJ65" s="4">
        <v>0</v>
      </c>
      <c r="AK65" s="4">
        <v>0</v>
      </c>
      <c r="AM65" s="4">
        <f t="shared" si="15"/>
        <v>174699</v>
      </c>
      <c r="AN65" s="4">
        <f t="shared" si="16"/>
        <v>0</v>
      </c>
      <c r="AO65" s="6">
        <f t="shared" si="17"/>
        <v>8977</v>
      </c>
      <c r="AP65" s="4">
        <f t="shared" si="18"/>
        <v>-113042</v>
      </c>
      <c r="AQ65" s="4">
        <f t="shared" si="19"/>
        <v>-845693</v>
      </c>
      <c r="AR65" s="4">
        <f t="shared" si="20"/>
        <v>0</v>
      </c>
      <c r="AS65" s="4">
        <f t="shared" si="21"/>
        <v>-2196779</v>
      </c>
      <c r="AT65" s="4">
        <f t="shared" si="22"/>
        <v>-3097954</v>
      </c>
      <c r="AU65" s="4">
        <f t="shared" si="23"/>
        <v>0</v>
      </c>
    </row>
    <row r="66" spans="1:47" x14ac:dyDescent="0.25">
      <c r="A66" t="s">
        <v>222</v>
      </c>
      <c r="B66">
        <v>38205</v>
      </c>
      <c r="C66" s="4">
        <f>VLOOKUP(B66,'ER Contributions'!A:D,4,FALSE)</f>
        <v>1472561.79</v>
      </c>
      <c r="D66" s="5">
        <f>VLOOKUP(B66,'ER Contributions'!A:D,3,FALSE)</f>
        <v>4.3659999999999999E-4</v>
      </c>
      <c r="E66" s="6">
        <f>VLOOKUP(B66,'68 - Summary Exhibit'!A:N,3,FALSE)</f>
        <v>6468962</v>
      </c>
      <c r="F66" s="6">
        <f>VLOOKUP(B66,'68 - Summary Exhibit'!A:N,4,FALSE)</f>
        <v>582966</v>
      </c>
      <c r="G66" s="6">
        <f>VLOOKUP(B66,'68 - Summary Exhibit'!A:N,5,FALSE)</f>
        <v>1066701</v>
      </c>
      <c r="H66" s="6">
        <f>VLOOKUP(B66,'68 - Summary Exhibit'!A:N,6,FALSE)</f>
        <v>0</v>
      </c>
      <c r="I66" s="4">
        <f>VLOOKUP(B66,'68 - Summary Exhibit'!A:N,7,FALSE)</f>
        <v>121301</v>
      </c>
      <c r="J66" s="4">
        <f>VLOOKUP(B66,'68 - Summary Exhibit'!A:N,8,FALSE)</f>
        <v>19123</v>
      </c>
      <c r="K66" s="4">
        <f>VLOOKUP(B66,'68 - Summary Exhibit'!A:N,9,FALSE)</f>
        <v>0</v>
      </c>
      <c r="L66" s="4">
        <f>VLOOKUP(B66,'68 - Summary Exhibit'!A:N,10,FALSE)</f>
        <v>0</v>
      </c>
      <c r="M66" s="4">
        <f>VLOOKUP(B66,'68 - Summary Exhibit'!A:N,11,FALSE)</f>
        <v>85782</v>
      </c>
      <c r="N66" s="4">
        <f>VLOOKUP(B66,'68 - Summary Exhibit'!A:N,12,FALSE)</f>
        <v>1787068</v>
      </c>
      <c r="O66" s="4">
        <f>VLOOKUP(B66,'68 - Summary Exhibit'!A:N,13,FALSE)</f>
        <v>-15785</v>
      </c>
      <c r="P66" s="4">
        <f t="shared" si="12"/>
        <v>1771283</v>
      </c>
      <c r="Q66" s="4">
        <f>VLOOKUP(B66,'68- Deferred Amortization'!A:G,3,FALSE)</f>
        <v>500426.60450277373</v>
      </c>
      <c r="R66" s="4">
        <f>VLOOKUP(B66,'68- Deferred Amortization'!A:G,4,FALSE)</f>
        <v>1307406.2149848274</v>
      </c>
      <c r="S66" s="4">
        <f>VLOOKUP(B66,'68- Deferred Amortization'!A:G,5,FALSE)</f>
        <v>-27587.007600000001</v>
      </c>
      <c r="T66" s="4">
        <f>VLOOKUP(B66,'68- Deferred Amortization'!A:G,6,FALSE)</f>
        <v>-114182.68819999999</v>
      </c>
      <c r="U66" s="4">
        <f>VLOOKUP(B66,'68- Deferred Amortization'!A:G,7,FALSE)</f>
        <v>0</v>
      </c>
      <c r="V66" s="4">
        <f t="shared" si="13"/>
        <v>0</v>
      </c>
      <c r="W66" s="4">
        <f t="shared" si="14"/>
        <v>0</v>
      </c>
      <c r="X66">
        <v>2</v>
      </c>
      <c r="AC66" s="6">
        <v>7572415</v>
      </c>
      <c r="AD66" s="6">
        <v>617331</v>
      </c>
      <c r="AE66" s="6">
        <v>2108917</v>
      </c>
      <c r="AF66" s="6">
        <v>265933</v>
      </c>
      <c r="AG66" s="4">
        <v>181952</v>
      </c>
      <c r="AH66" s="4">
        <v>55890</v>
      </c>
      <c r="AI66" s="4">
        <v>0</v>
      </c>
      <c r="AJ66" s="4">
        <v>0</v>
      </c>
      <c r="AK66" s="4">
        <v>50006</v>
      </c>
      <c r="AM66" s="4">
        <f t="shared" si="15"/>
        <v>-60651</v>
      </c>
      <c r="AN66" s="4">
        <f t="shared" si="16"/>
        <v>35776</v>
      </c>
      <c r="AO66" s="6">
        <f t="shared" si="17"/>
        <v>-34365</v>
      </c>
      <c r="AP66" s="4">
        <f t="shared" si="18"/>
        <v>-36767</v>
      </c>
      <c r="AQ66" s="4">
        <f t="shared" si="19"/>
        <v>-265933</v>
      </c>
      <c r="AR66" s="4">
        <f t="shared" si="20"/>
        <v>0</v>
      </c>
      <c r="AS66" s="4">
        <f t="shared" si="21"/>
        <v>-1103453</v>
      </c>
      <c r="AT66" s="4">
        <f t="shared" si="22"/>
        <v>-1042216</v>
      </c>
      <c r="AU66" s="4">
        <f t="shared" si="23"/>
        <v>0</v>
      </c>
    </row>
    <row r="67" spans="1:47" x14ac:dyDescent="0.25">
      <c r="A67" t="s">
        <v>223</v>
      </c>
      <c r="B67">
        <v>36305</v>
      </c>
      <c r="C67" s="4">
        <f>VLOOKUP(B67,'ER Contributions'!A:D,4,FALSE)</f>
        <v>3452271.51</v>
      </c>
      <c r="D67" s="5">
        <f>VLOOKUP(B67,'ER Contributions'!A:D,3,FALSE)</f>
        <v>1.0399000000000001E-3</v>
      </c>
      <c r="E67" s="6">
        <f>VLOOKUP(B67,'68 - Summary Exhibit'!A:N,3,FALSE)</f>
        <v>15407863</v>
      </c>
      <c r="F67" s="6">
        <f>VLOOKUP(B67,'68 - Summary Exhibit'!A:N,4,FALSE)</f>
        <v>1388516</v>
      </c>
      <c r="G67" s="6">
        <f>VLOOKUP(B67,'68 - Summary Exhibit'!A:N,5,FALSE)</f>
        <v>2540684</v>
      </c>
      <c r="H67" s="6">
        <f>VLOOKUP(B67,'68 - Summary Exhibit'!A:N,6,FALSE)</f>
        <v>0</v>
      </c>
      <c r="I67" s="4">
        <f>VLOOKUP(B67,'68 - Summary Exhibit'!A:N,7,FALSE)</f>
        <v>533255</v>
      </c>
      <c r="J67" s="4">
        <f>VLOOKUP(B67,'68 - Summary Exhibit'!A:N,8,FALSE)</f>
        <v>45548</v>
      </c>
      <c r="K67" s="4">
        <f>VLOOKUP(B67,'68 - Summary Exhibit'!A:N,9,FALSE)</f>
        <v>0</v>
      </c>
      <c r="L67" s="4">
        <f>VLOOKUP(B67,'68 - Summary Exhibit'!A:N,10,FALSE)</f>
        <v>0</v>
      </c>
      <c r="M67" s="4">
        <f>VLOOKUP(B67,'68 - Summary Exhibit'!A:N,11,FALSE)</f>
        <v>0</v>
      </c>
      <c r="N67" s="4">
        <f>VLOOKUP(B67,'68 - Summary Exhibit'!A:N,12,FALSE)</f>
        <v>4256463</v>
      </c>
      <c r="O67" s="4">
        <f>VLOOKUP(B67,'68 - Summary Exhibit'!A:N,13,FALSE)</f>
        <v>396886</v>
      </c>
      <c r="P67" s="4">
        <f t="shared" ref="P67:P80" si="24">N67+O67</f>
        <v>4653349</v>
      </c>
      <c r="Q67" s="4">
        <f>VLOOKUP(B67,'68- Deferred Amortization'!A:G,3,FALSE)</f>
        <v>1474877.4059131928</v>
      </c>
      <c r="R67" s="4">
        <f>VLOOKUP(B67,'68- Deferred Amortization'!A:G,4,FALSE)</f>
        <v>3279698.3682107995</v>
      </c>
      <c r="S67" s="4">
        <f>VLOOKUP(B67,'68- Deferred Amortization'!A:G,5,FALSE)</f>
        <v>-65707.121400000004</v>
      </c>
      <c r="T67" s="4">
        <f>VLOOKUP(B67,'68- Deferred Amortization'!A:G,6,FALSE)</f>
        <v>-271961.92730000004</v>
      </c>
      <c r="U67" s="4">
        <f>VLOOKUP(B67,'68- Deferred Amortization'!A:G,7,FALSE)</f>
        <v>0</v>
      </c>
      <c r="V67" s="4">
        <f t="shared" si="13"/>
        <v>1</v>
      </c>
      <c r="W67" s="4">
        <f t="shared" si="14"/>
        <v>0</v>
      </c>
      <c r="X67">
        <v>2</v>
      </c>
      <c r="AC67" s="6">
        <v>17193816</v>
      </c>
      <c r="AD67" s="6">
        <v>1401703</v>
      </c>
      <c r="AE67" s="6">
        <v>4788476</v>
      </c>
      <c r="AF67" s="6">
        <v>603824</v>
      </c>
      <c r="AG67" s="4">
        <v>736835</v>
      </c>
      <c r="AH67" s="4">
        <v>126902</v>
      </c>
      <c r="AI67" s="4">
        <v>0</v>
      </c>
      <c r="AJ67" s="4">
        <v>0</v>
      </c>
      <c r="AK67" s="4">
        <v>0</v>
      </c>
      <c r="AM67" s="4">
        <f t="shared" si="15"/>
        <v>-203580</v>
      </c>
      <c r="AN67" s="4">
        <f t="shared" si="16"/>
        <v>0</v>
      </c>
      <c r="AO67" s="6">
        <f t="shared" si="17"/>
        <v>-13187</v>
      </c>
      <c r="AP67" s="4">
        <f t="shared" si="18"/>
        <v>-81354</v>
      </c>
      <c r="AQ67" s="4">
        <f t="shared" si="19"/>
        <v>-603824</v>
      </c>
      <c r="AR67" s="4">
        <f t="shared" si="20"/>
        <v>0</v>
      </c>
      <c r="AS67" s="4">
        <f t="shared" si="21"/>
        <v>-1785953</v>
      </c>
      <c r="AT67" s="4">
        <f t="shared" si="22"/>
        <v>-2247792</v>
      </c>
      <c r="AU67" s="4">
        <f t="shared" si="23"/>
        <v>0</v>
      </c>
    </row>
    <row r="68" spans="1:47" x14ac:dyDescent="0.25">
      <c r="A68" t="s">
        <v>224</v>
      </c>
      <c r="B68">
        <v>30405</v>
      </c>
      <c r="C68" s="4">
        <f>VLOOKUP(B68,'ER Contributions'!A:D,4,FALSE)</f>
        <v>2441060.4899999998</v>
      </c>
      <c r="D68" s="5">
        <f>VLOOKUP(B68,'ER Contributions'!A:D,3,FALSE)</f>
        <v>7.5929999999999997E-4</v>
      </c>
      <c r="E68" s="6">
        <f>VLOOKUP(B68,'68 - Summary Exhibit'!A:N,3,FALSE)</f>
        <v>11250304</v>
      </c>
      <c r="F68" s="6">
        <f>VLOOKUP(B68,'68 - Summary Exhibit'!A:N,4,FALSE)</f>
        <v>1013848</v>
      </c>
      <c r="G68" s="6">
        <f>VLOOKUP(B68,'68 - Summary Exhibit'!A:N,5,FALSE)</f>
        <v>1855122</v>
      </c>
      <c r="H68" s="6">
        <f>VLOOKUP(B68,'68 - Summary Exhibit'!A:N,6,FALSE)</f>
        <v>0</v>
      </c>
      <c r="I68" s="4">
        <f>VLOOKUP(B68,'68 - Summary Exhibit'!A:N,7,FALSE)</f>
        <v>311796</v>
      </c>
      <c r="J68" s="4">
        <f>VLOOKUP(B68,'68 - Summary Exhibit'!A:N,8,FALSE)</f>
        <v>33257</v>
      </c>
      <c r="K68" s="4">
        <f>VLOOKUP(B68,'68 - Summary Exhibit'!A:N,9,FALSE)</f>
        <v>0</v>
      </c>
      <c r="L68" s="4">
        <f>VLOOKUP(B68,'68 - Summary Exhibit'!A:N,10,FALSE)</f>
        <v>0</v>
      </c>
      <c r="M68" s="4">
        <f>VLOOKUP(B68,'68 - Summary Exhibit'!A:N,11,FALSE)</f>
        <v>53312</v>
      </c>
      <c r="N68" s="4">
        <f>VLOOKUP(B68,'68 - Summary Exhibit'!A:N,12,FALSE)</f>
        <v>3107926</v>
      </c>
      <c r="O68" s="4">
        <f>VLOOKUP(B68,'68 - Summary Exhibit'!A:N,13,FALSE)</f>
        <v>222858</v>
      </c>
      <c r="P68" s="4">
        <f t="shared" si="24"/>
        <v>3330784</v>
      </c>
      <c r="Q68" s="4">
        <f>VLOOKUP(B68,'68- Deferred Amortization'!A:G,3,FALSE)</f>
        <v>1019971.2286777383</v>
      </c>
      <c r="R68" s="4">
        <f>VLOOKUP(B68,'68- Deferred Amortization'!A:G,4,FALSE)</f>
        <v>2320778.8055610885</v>
      </c>
      <c r="S68" s="4">
        <f>VLOOKUP(B68,'68- Deferred Amortization'!A:G,5,FALSE)</f>
        <v>-47977.129799999995</v>
      </c>
      <c r="T68" s="4">
        <f>VLOOKUP(B68,'68- Deferred Amortization'!A:G,6,FALSE)</f>
        <v>-198577.45110000001</v>
      </c>
      <c r="U68" s="4">
        <f>VLOOKUP(B68,'68- Deferred Amortization'!A:G,7,FALSE)</f>
        <v>0</v>
      </c>
      <c r="V68" s="4">
        <f t="shared" ref="V68:V88" si="25">ROUND(((F68-AD68)+(G68-AE68)+(H68-AF68)+(I68-AG68)+(AI68-K68)+P68-(E68-AC68)-(J68-AH68)-(M68-AK68)-C68),0)</f>
        <v>3</v>
      </c>
      <c r="W68" s="4">
        <f t="shared" ref="W68:W88" si="26">ROUND((F68+G68+H68+I68-J68-K68-L68-M68-Q68-R68-S68-T68-U68),0)</f>
        <v>2</v>
      </c>
      <c r="X68">
        <v>2</v>
      </c>
      <c r="AC68" s="6">
        <v>12095524</v>
      </c>
      <c r="AD68" s="6">
        <v>986071</v>
      </c>
      <c r="AE68" s="6">
        <v>3368602</v>
      </c>
      <c r="AF68" s="6">
        <v>424779</v>
      </c>
      <c r="AG68" s="4">
        <v>218929</v>
      </c>
      <c r="AH68" s="4">
        <v>89274</v>
      </c>
      <c r="AI68" s="4">
        <v>0</v>
      </c>
      <c r="AJ68" s="4">
        <v>0</v>
      </c>
      <c r="AK68" s="4">
        <v>79969</v>
      </c>
      <c r="AM68" s="4">
        <f t="shared" ref="AM68:AM85" si="27">I68-AG68</f>
        <v>92867</v>
      </c>
      <c r="AN68" s="4">
        <f t="shared" ref="AN68:AN85" si="28">M68-AK68</f>
        <v>-26657</v>
      </c>
      <c r="AO68" s="6">
        <f t="shared" ref="AO68:AO88" si="29">F68-AD68</f>
        <v>27777</v>
      </c>
      <c r="AP68" s="4">
        <f t="shared" ref="AP68:AP88" si="30">J68-AH68</f>
        <v>-56017</v>
      </c>
      <c r="AQ68" s="4">
        <f t="shared" ref="AQ68:AQ88" si="31">H68-AF68</f>
        <v>-424779</v>
      </c>
      <c r="AR68" s="4">
        <f t="shared" ref="AR68:AR88" si="32">L68-AJ68</f>
        <v>0</v>
      </c>
      <c r="AS68" s="4">
        <f t="shared" ref="AS68:AS88" si="33">E68-AC68</f>
        <v>-845220</v>
      </c>
      <c r="AT68" s="4">
        <f t="shared" ref="AT68:AT88" si="34">SUM(G68-AE68)</f>
        <v>-1513480</v>
      </c>
      <c r="AU68" s="4">
        <f t="shared" ref="AU68:AU88" si="35">SUM(K68-AI68)</f>
        <v>0</v>
      </c>
    </row>
    <row r="69" spans="1:47" x14ac:dyDescent="0.25">
      <c r="A69" t="s">
        <v>225</v>
      </c>
      <c r="B69">
        <v>32405</v>
      </c>
      <c r="C69" s="4">
        <f>VLOOKUP(B69,'ER Contributions'!A:D,4,FALSE)</f>
        <v>1717236.8499999996</v>
      </c>
      <c r="D69" s="5">
        <f>VLOOKUP(B69,'ER Contributions'!A:D,3,FALSE)</f>
        <v>5.042E-4</v>
      </c>
      <c r="E69" s="6">
        <f>VLOOKUP(B69,'68 - Summary Exhibit'!A:N,3,FALSE)</f>
        <v>7470569</v>
      </c>
      <c r="F69" s="6">
        <f>VLOOKUP(B69,'68 - Summary Exhibit'!A:N,4,FALSE)</f>
        <v>673228</v>
      </c>
      <c r="G69" s="6">
        <f>VLOOKUP(B69,'68 - Summary Exhibit'!A:N,5,FALSE)</f>
        <v>1231861</v>
      </c>
      <c r="H69" s="6">
        <f>VLOOKUP(B69,'68 - Summary Exhibit'!A:N,6,FALSE)</f>
        <v>0</v>
      </c>
      <c r="I69" s="4">
        <f>VLOOKUP(B69,'68 - Summary Exhibit'!A:N,7,FALSE)</f>
        <v>159968</v>
      </c>
      <c r="J69" s="4">
        <f>VLOOKUP(B69,'68 - Summary Exhibit'!A:N,8,FALSE)</f>
        <v>22084</v>
      </c>
      <c r="K69" s="4">
        <f>VLOOKUP(B69,'68 - Summary Exhibit'!A:N,9,FALSE)</f>
        <v>0</v>
      </c>
      <c r="L69" s="4">
        <f>VLOOKUP(B69,'68 - Summary Exhibit'!A:N,10,FALSE)</f>
        <v>0</v>
      </c>
      <c r="M69" s="4">
        <f>VLOOKUP(B69,'68 - Summary Exhibit'!A:N,11,FALSE)</f>
        <v>0</v>
      </c>
      <c r="N69" s="4">
        <f>VLOOKUP(B69,'68 - Summary Exhibit'!A:N,12,FALSE)</f>
        <v>2063764</v>
      </c>
      <c r="O69" s="4">
        <f>VLOOKUP(B69,'68 - Summary Exhibit'!A:N,13,FALSE)</f>
        <v>35930</v>
      </c>
      <c r="P69" s="4">
        <f t="shared" si="24"/>
        <v>2099694</v>
      </c>
      <c r="Q69" s="4">
        <f>VLOOKUP(B69,'68- Deferred Amortization'!A:G,3,FALSE)</f>
        <v>646558.82595850748</v>
      </c>
      <c r="R69" s="4">
        <f>VLOOKUP(B69,'68- Deferred Amortization'!A:G,4,FALSE)</f>
        <v>1560134.6091637039</v>
      </c>
      <c r="S69" s="4">
        <f>VLOOKUP(B69,'68- Deferred Amortization'!A:G,5,FALSE)</f>
        <v>-31858.3812</v>
      </c>
      <c r="T69" s="4">
        <f>VLOOKUP(B69,'68- Deferred Amortization'!A:G,6,FALSE)</f>
        <v>-131861.91339999999</v>
      </c>
      <c r="U69" s="4">
        <f>VLOOKUP(B69,'68- Deferred Amortization'!A:G,7,FALSE)</f>
        <v>0</v>
      </c>
      <c r="V69" s="4">
        <f t="shared" si="25"/>
        <v>-1</v>
      </c>
      <c r="W69" s="4">
        <f t="shared" si="26"/>
        <v>0</v>
      </c>
      <c r="X69">
        <v>2</v>
      </c>
      <c r="AC69" s="6">
        <v>8230958</v>
      </c>
      <c r="AD69" s="6">
        <v>671018</v>
      </c>
      <c r="AE69" s="6">
        <v>2292321</v>
      </c>
      <c r="AF69" s="6">
        <v>289060</v>
      </c>
      <c r="AG69" s="4">
        <v>41063</v>
      </c>
      <c r="AH69" s="4">
        <v>60750</v>
      </c>
      <c r="AI69" s="4">
        <v>0</v>
      </c>
      <c r="AJ69" s="4">
        <v>0</v>
      </c>
      <c r="AK69" s="4">
        <v>46892</v>
      </c>
      <c r="AM69" s="4">
        <f t="shared" si="27"/>
        <v>118905</v>
      </c>
      <c r="AN69" s="4">
        <f t="shared" si="28"/>
        <v>-46892</v>
      </c>
      <c r="AO69" s="6">
        <f t="shared" si="29"/>
        <v>2210</v>
      </c>
      <c r="AP69" s="4">
        <f t="shared" si="30"/>
        <v>-38666</v>
      </c>
      <c r="AQ69" s="4">
        <f t="shared" si="31"/>
        <v>-289060</v>
      </c>
      <c r="AR69" s="4">
        <f t="shared" si="32"/>
        <v>0</v>
      </c>
      <c r="AS69" s="4">
        <f t="shared" si="33"/>
        <v>-760389</v>
      </c>
      <c r="AT69" s="4">
        <f t="shared" si="34"/>
        <v>-1060460</v>
      </c>
      <c r="AU69" s="4">
        <f t="shared" si="35"/>
        <v>0</v>
      </c>
    </row>
    <row r="70" spans="1:47" x14ac:dyDescent="0.25">
      <c r="A70" t="s">
        <v>226</v>
      </c>
      <c r="B70">
        <v>35005</v>
      </c>
      <c r="C70" s="4">
        <f>VLOOKUP(B70,'ER Contributions'!A:D,4,FALSE)</f>
        <v>1923303.3800000001</v>
      </c>
      <c r="D70" s="5">
        <f>VLOOKUP(B70,'ER Contributions'!A:D,3,FALSE)</f>
        <v>5.731E-4</v>
      </c>
      <c r="E70" s="6">
        <f>VLOOKUP(B70,'68 - Summary Exhibit'!A:N,3,FALSE)</f>
        <v>8491438</v>
      </c>
      <c r="F70" s="6">
        <f>VLOOKUP(B70,'68 - Summary Exhibit'!A:N,4,FALSE)</f>
        <v>765226</v>
      </c>
      <c r="G70" s="6">
        <f>VLOOKUP(B70,'68 - Summary Exhibit'!A:N,5,FALSE)</f>
        <v>1400198</v>
      </c>
      <c r="H70" s="6">
        <f>VLOOKUP(B70,'68 - Summary Exhibit'!A:N,6,FALSE)</f>
        <v>0</v>
      </c>
      <c r="I70" s="4">
        <f>VLOOKUP(B70,'68 - Summary Exhibit'!A:N,7,FALSE)</f>
        <v>5246</v>
      </c>
      <c r="J70" s="4">
        <f>VLOOKUP(B70,'68 - Summary Exhibit'!A:N,8,FALSE)</f>
        <v>25102</v>
      </c>
      <c r="K70" s="4">
        <f>VLOOKUP(B70,'68 - Summary Exhibit'!A:N,9,FALSE)</f>
        <v>0</v>
      </c>
      <c r="L70" s="4">
        <f>VLOOKUP(B70,'68 - Summary Exhibit'!A:N,10,FALSE)</f>
        <v>0</v>
      </c>
      <c r="M70" s="4">
        <f>VLOOKUP(B70,'68 - Summary Exhibit'!A:N,11,FALSE)</f>
        <v>173754</v>
      </c>
      <c r="N70" s="4">
        <f>VLOOKUP(B70,'68 - Summary Exhibit'!A:N,12,FALSE)</f>
        <v>2345782</v>
      </c>
      <c r="O70" s="4">
        <f>VLOOKUP(B70,'68 - Summary Exhibit'!A:N,13,FALSE)</f>
        <v>-96844</v>
      </c>
      <c r="P70" s="4">
        <f t="shared" si="24"/>
        <v>2248938</v>
      </c>
      <c r="Q70" s="4">
        <f>VLOOKUP(B70,'68- Deferred Amortization'!A:G,3,FALSE)</f>
        <v>559140.51780751708</v>
      </c>
      <c r="R70" s="4">
        <f>VLOOKUP(B70,'68- Deferred Amortization'!A:G,4,FALSE)</f>
        <v>1598765.7415816428</v>
      </c>
      <c r="S70" s="4">
        <f>VLOOKUP(B70,'68- Deferred Amortization'!A:G,5,FALSE)</f>
        <v>-36211.8966</v>
      </c>
      <c r="T70" s="4">
        <f>VLOOKUP(B70,'68- Deferred Amortization'!A:G,6,FALSE)</f>
        <v>-149881.1237</v>
      </c>
      <c r="U70" s="4">
        <f>VLOOKUP(B70,'68- Deferred Amortization'!A:G,7,FALSE)</f>
        <v>0</v>
      </c>
      <c r="V70" s="4">
        <f t="shared" si="25"/>
        <v>0</v>
      </c>
      <c r="W70" s="4">
        <f t="shared" si="26"/>
        <v>1</v>
      </c>
      <c r="X70">
        <v>2</v>
      </c>
      <c r="AC70" s="6">
        <v>9898156</v>
      </c>
      <c r="AD70" s="6">
        <v>806934</v>
      </c>
      <c r="AE70" s="6">
        <v>2756636</v>
      </c>
      <c r="AF70" s="6">
        <v>347610</v>
      </c>
      <c r="AG70" s="4">
        <v>10491</v>
      </c>
      <c r="AH70" s="4">
        <v>73055</v>
      </c>
      <c r="AI70" s="4">
        <v>0</v>
      </c>
      <c r="AJ70" s="4">
        <v>0</v>
      </c>
      <c r="AK70" s="4">
        <v>144449</v>
      </c>
      <c r="AM70" s="4">
        <f t="shared" si="27"/>
        <v>-5245</v>
      </c>
      <c r="AN70" s="4">
        <f t="shared" si="28"/>
        <v>29305</v>
      </c>
      <c r="AO70" s="6">
        <f t="shared" si="29"/>
        <v>-41708</v>
      </c>
      <c r="AP70" s="4">
        <f t="shared" si="30"/>
        <v>-47953</v>
      </c>
      <c r="AQ70" s="4">
        <f t="shared" si="31"/>
        <v>-347610</v>
      </c>
      <c r="AR70" s="4">
        <f t="shared" si="32"/>
        <v>0</v>
      </c>
      <c r="AS70" s="4">
        <f t="shared" si="33"/>
        <v>-1406718</v>
      </c>
      <c r="AT70" s="4">
        <f t="shared" si="34"/>
        <v>-1356438</v>
      </c>
      <c r="AU70" s="4">
        <f t="shared" si="35"/>
        <v>0</v>
      </c>
    </row>
    <row r="71" spans="1:47" x14ac:dyDescent="0.25">
      <c r="A71" t="s">
        <v>227</v>
      </c>
      <c r="B71">
        <v>38405</v>
      </c>
      <c r="C71" s="4">
        <f>VLOOKUP(B71,'ER Contributions'!A:D,4,FALSE)</f>
        <v>2184652.419999999</v>
      </c>
      <c r="D71" s="5">
        <f>VLOOKUP(B71,'ER Contributions'!A:D,3,FALSE)</f>
        <v>6.7949999999999998E-4</v>
      </c>
      <c r="E71" s="6">
        <f>VLOOKUP(B71,'68 - Summary Exhibit'!A:N,3,FALSE)</f>
        <v>10067933</v>
      </c>
      <c r="F71" s="6">
        <f>VLOOKUP(B71,'68 - Summary Exhibit'!A:N,4,FALSE)</f>
        <v>907296</v>
      </c>
      <c r="G71" s="6">
        <f>VLOOKUP(B71,'68 - Summary Exhibit'!A:N,5,FALSE)</f>
        <v>1660154</v>
      </c>
      <c r="H71" s="6">
        <f>VLOOKUP(B71,'68 - Summary Exhibit'!A:N,6,FALSE)</f>
        <v>0</v>
      </c>
      <c r="I71" s="4">
        <f>VLOOKUP(B71,'68 - Summary Exhibit'!A:N,7,FALSE)</f>
        <v>13607</v>
      </c>
      <c r="J71" s="4">
        <f>VLOOKUP(B71,'68 - Summary Exhibit'!A:N,8,FALSE)</f>
        <v>29762</v>
      </c>
      <c r="K71" s="4">
        <f>VLOOKUP(B71,'68 - Summary Exhibit'!A:N,9,FALSE)</f>
        <v>0</v>
      </c>
      <c r="L71" s="4">
        <f>VLOOKUP(B71,'68 - Summary Exhibit'!A:N,10,FALSE)</f>
        <v>0</v>
      </c>
      <c r="M71" s="4">
        <f>VLOOKUP(B71,'68 - Summary Exhibit'!A:N,11,FALSE)</f>
        <v>251283</v>
      </c>
      <c r="N71" s="4">
        <f>VLOOKUP(B71,'68 - Summary Exhibit'!A:N,12,FALSE)</f>
        <v>2781293</v>
      </c>
      <c r="O71" s="4">
        <f>VLOOKUP(B71,'68 - Summary Exhibit'!A:N,13,FALSE)</f>
        <v>-170396</v>
      </c>
      <c r="P71" s="4">
        <f t="shared" si="24"/>
        <v>2610897</v>
      </c>
      <c r="Q71" s="4">
        <f>VLOOKUP(B71,'68- Deferred Amortization'!A:G,3,FALSE)</f>
        <v>635076.89045439207</v>
      </c>
      <c r="R71" s="4">
        <f>VLOOKUP(B71,'68- Deferred Amortization'!A:G,4,FALSE)</f>
        <v>1885577.8872774318</v>
      </c>
      <c r="S71" s="4">
        <f>VLOOKUP(B71,'68- Deferred Amortization'!A:G,5,FALSE)</f>
        <v>-42934.887000000002</v>
      </c>
      <c r="T71" s="4">
        <f>VLOOKUP(B71,'68- Deferred Amortization'!A:G,6,FALSE)</f>
        <v>-177707.59649999999</v>
      </c>
      <c r="U71" s="4">
        <f>VLOOKUP(B71,'68- Deferred Amortization'!A:G,7,FALSE)</f>
        <v>0</v>
      </c>
      <c r="V71" s="4">
        <f t="shared" si="25"/>
        <v>0</v>
      </c>
      <c r="W71" s="4">
        <f t="shared" si="26"/>
        <v>0</v>
      </c>
      <c r="X71">
        <v>2</v>
      </c>
      <c r="AC71" s="6">
        <v>11912132</v>
      </c>
      <c r="AD71" s="6">
        <v>971121</v>
      </c>
      <c r="AE71" s="6">
        <v>3317528</v>
      </c>
      <c r="AF71" s="6">
        <v>418338</v>
      </c>
      <c r="AG71" s="4">
        <v>20411</v>
      </c>
      <c r="AH71" s="4">
        <v>87920</v>
      </c>
      <c r="AI71" s="4">
        <v>0</v>
      </c>
      <c r="AJ71" s="4">
        <v>0</v>
      </c>
      <c r="AK71" s="4">
        <v>69022</v>
      </c>
      <c r="AM71" s="4">
        <f t="shared" si="27"/>
        <v>-6804</v>
      </c>
      <c r="AN71" s="4">
        <f t="shared" si="28"/>
        <v>182261</v>
      </c>
      <c r="AO71" s="6">
        <f t="shared" si="29"/>
        <v>-63825</v>
      </c>
      <c r="AP71" s="4">
        <f t="shared" si="30"/>
        <v>-58158</v>
      </c>
      <c r="AQ71" s="4">
        <f t="shared" si="31"/>
        <v>-418338</v>
      </c>
      <c r="AR71" s="4">
        <f t="shared" si="32"/>
        <v>0</v>
      </c>
      <c r="AS71" s="4">
        <f t="shared" si="33"/>
        <v>-1844199</v>
      </c>
      <c r="AT71" s="4">
        <f t="shared" si="34"/>
        <v>-1657374</v>
      </c>
      <c r="AU71" s="4">
        <f t="shared" si="35"/>
        <v>0</v>
      </c>
    </row>
    <row r="72" spans="1:47" x14ac:dyDescent="0.25">
      <c r="A72" t="s">
        <v>228</v>
      </c>
      <c r="B72">
        <v>38605</v>
      </c>
      <c r="C72" s="4">
        <f>VLOOKUP(B72,'ER Contributions'!A:D,4,FALSE)</f>
        <v>2335359.83</v>
      </c>
      <c r="D72" s="5">
        <f>VLOOKUP(B72,'ER Contributions'!A:D,3,FALSE)</f>
        <v>7.4030000000000005E-4</v>
      </c>
      <c r="E72" s="6">
        <f>VLOOKUP(B72,'68 - Summary Exhibit'!A:N,3,FALSE)</f>
        <v>10968787</v>
      </c>
      <c r="F72" s="6">
        <f>VLOOKUP(B72,'68 - Summary Exhibit'!A:N,4,FALSE)</f>
        <v>988478</v>
      </c>
      <c r="G72" s="6">
        <f>VLOOKUP(B72,'68 - Summary Exhibit'!A:N,5,FALSE)</f>
        <v>1808701</v>
      </c>
      <c r="H72" s="6">
        <f>VLOOKUP(B72,'68 - Summary Exhibit'!A:N,6,FALSE)</f>
        <v>0</v>
      </c>
      <c r="I72" s="4">
        <f>VLOOKUP(B72,'68 - Summary Exhibit'!A:N,7,FALSE)</f>
        <v>173479</v>
      </c>
      <c r="J72" s="4">
        <f>VLOOKUP(B72,'68 - Summary Exhibit'!A:N,8,FALSE)</f>
        <v>32425</v>
      </c>
      <c r="K72" s="4">
        <f>VLOOKUP(B72,'68 - Summary Exhibit'!A:N,9,FALSE)</f>
        <v>0</v>
      </c>
      <c r="L72" s="4">
        <f>VLOOKUP(B72,'68 - Summary Exhibit'!A:N,10,FALSE)</f>
        <v>0</v>
      </c>
      <c r="M72" s="4">
        <f>VLOOKUP(B72,'68 - Summary Exhibit'!A:N,11,FALSE)</f>
        <v>190011</v>
      </c>
      <c r="N72" s="4">
        <f>VLOOKUP(B72,'68 - Summary Exhibit'!A:N,12,FALSE)</f>
        <v>3030156</v>
      </c>
      <c r="O72" s="4">
        <f>VLOOKUP(B72,'68 - Summary Exhibit'!A:N,13,FALSE)</f>
        <v>64489</v>
      </c>
      <c r="P72" s="4">
        <f t="shared" si="24"/>
        <v>3094645</v>
      </c>
      <c r="Q72" s="4">
        <f>VLOOKUP(B72,'68- Deferred Amortization'!A:G,3,FALSE)</f>
        <v>829368.10342869675</v>
      </c>
      <c r="R72" s="4">
        <f>VLOOKUP(B72,'68- Deferred Amortization'!A:G,4,FALSE)</f>
        <v>2159238.8255610955</v>
      </c>
      <c r="S72" s="4">
        <f>VLOOKUP(B72,'68- Deferred Amortization'!A:G,5,FALSE)</f>
        <v>-46776.595800000003</v>
      </c>
      <c r="T72" s="4">
        <f>VLOOKUP(B72,'68- Deferred Amortization'!A:G,6,FALSE)</f>
        <v>-193608.4381</v>
      </c>
      <c r="U72" s="4">
        <f>VLOOKUP(B72,'68- Deferred Amortization'!A:G,7,FALSE)</f>
        <v>0</v>
      </c>
      <c r="V72" s="4">
        <f t="shared" si="25"/>
        <v>0</v>
      </c>
      <c r="W72" s="4">
        <f t="shared" si="26"/>
        <v>0</v>
      </c>
      <c r="X72">
        <v>2</v>
      </c>
      <c r="AC72" s="6">
        <v>11888791</v>
      </c>
      <c r="AD72" s="6">
        <v>969218</v>
      </c>
      <c r="AE72" s="6">
        <v>3311027</v>
      </c>
      <c r="AF72" s="6">
        <v>417519</v>
      </c>
      <c r="AG72" s="4">
        <v>102511</v>
      </c>
      <c r="AH72" s="4">
        <v>87748</v>
      </c>
      <c r="AI72" s="4">
        <v>0</v>
      </c>
      <c r="AJ72" s="4">
        <v>0</v>
      </c>
      <c r="AK72" s="4">
        <v>285016</v>
      </c>
      <c r="AM72" s="4">
        <f t="shared" si="27"/>
        <v>70968</v>
      </c>
      <c r="AN72" s="4">
        <f t="shared" si="28"/>
        <v>-95005</v>
      </c>
      <c r="AO72" s="6">
        <f t="shared" si="29"/>
        <v>19260</v>
      </c>
      <c r="AP72" s="4">
        <f t="shared" si="30"/>
        <v>-55323</v>
      </c>
      <c r="AQ72" s="4">
        <f t="shared" si="31"/>
        <v>-417519</v>
      </c>
      <c r="AR72" s="4">
        <f t="shared" si="32"/>
        <v>0</v>
      </c>
      <c r="AS72" s="4">
        <f t="shared" si="33"/>
        <v>-920004</v>
      </c>
      <c r="AT72" s="4">
        <f t="shared" si="34"/>
        <v>-1502326</v>
      </c>
      <c r="AU72" s="4">
        <f t="shared" si="35"/>
        <v>0</v>
      </c>
    </row>
    <row r="73" spans="1:47" x14ac:dyDescent="0.25">
      <c r="A73" t="s">
        <v>229</v>
      </c>
      <c r="B73">
        <v>32005</v>
      </c>
      <c r="C73" s="4">
        <f>VLOOKUP(B73,'ER Contributions'!A:D,4,FALSE)</f>
        <v>1059649.5</v>
      </c>
      <c r="D73" s="5">
        <f>VLOOKUP(B73,'ER Contributions'!A:D,3,FALSE)</f>
        <v>3.5829999999999998E-4</v>
      </c>
      <c r="E73" s="6">
        <f>VLOOKUP(B73,'68 - Summary Exhibit'!A:N,3,FALSE)</f>
        <v>5308816</v>
      </c>
      <c r="F73" s="6">
        <f>VLOOKUP(B73,'68 - Summary Exhibit'!A:N,4,FALSE)</f>
        <v>478416</v>
      </c>
      <c r="G73" s="6">
        <f>VLOOKUP(B73,'68 - Summary Exhibit'!A:N,5,FALSE)</f>
        <v>875399</v>
      </c>
      <c r="H73" s="6">
        <f>VLOOKUP(B73,'68 - Summary Exhibit'!A:N,6,FALSE)</f>
        <v>0</v>
      </c>
      <c r="I73" s="4">
        <f>VLOOKUP(B73,'68 - Summary Exhibit'!A:N,7,FALSE)</f>
        <v>33951</v>
      </c>
      <c r="J73" s="4">
        <f>VLOOKUP(B73,'68 - Summary Exhibit'!A:N,8,FALSE)</f>
        <v>15694</v>
      </c>
      <c r="K73" s="4">
        <f>VLOOKUP(B73,'68 - Summary Exhibit'!A:N,9,FALSE)</f>
        <v>0</v>
      </c>
      <c r="L73" s="4">
        <f>VLOOKUP(B73,'68 - Summary Exhibit'!A:N,10,FALSE)</f>
        <v>0</v>
      </c>
      <c r="M73" s="4">
        <f>VLOOKUP(B73,'68 - Summary Exhibit'!A:N,11,FALSE)</f>
        <v>101528</v>
      </c>
      <c r="N73" s="4">
        <f>VLOOKUP(B73,'68 - Summary Exhibit'!A:N,12,FALSE)</f>
        <v>1466574</v>
      </c>
      <c r="O73" s="4">
        <f>VLOOKUP(B73,'68 - Summary Exhibit'!A:N,13,FALSE)</f>
        <v>60938</v>
      </c>
      <c r="P73" s="4">
        <f t="shared" si="24"/>
        <v>1527512</v>
      </c>
      <c r="Q73" s="4">
        <f>VLOOKUP(B73,'68- Deferred Amortization'!A:G,3,FALSE)</f>
        <v>383795.16126844287</v>
      </c>
      <c r="R73" s="4">
        <f>VLOOKUP(B73,'68- Deferred Amortization'!A:G,4,FALSE)</f>
        <v>1003093.9510828604</v>
      </c>
      <c r="S73" s="4">
        <f>VLOOKUP(B73,'68- Deferred Amortization'!A:G,5,FALSE)</f>
        <v>-22639.543799999999</v>
      </c>
      <c r="T73" s="4">
        <f>VLOOKUP(B73,'68- Deferred Amortization'!A:G,6,FALSE)</f>
        <v>-93705.124100000001</v>
      </c>
      <c r="U73" s="4">
        <f>VLOOKUP(B73,'68- Deferred Amortization'!A:G,7,FALSE)</f>
        <v>0</v>
      </c>
      <c r="V73" s="4">
        <f t="shared" si="25"/>
        <v>-1</v>
      </c>
      <c r="W73" s="4">
        <f t="shared" si="26"/>
        <v>0</v>
      </c>
      <c r="X73">
        <v>2</v>
      </c>
      <c r="AC73" s="6">
        <v>6050263</v>
      </c>
      <c r="AD73" s="6">
        <v>493240</v>
      </c>
      <c r="AE73" s="6">
        <v>1684998</v>
      </c>
      <c r="AF73" s="6">
        <v>212477</v>
      </c>
      <c r="AG73" s="4">
        <v>145652</v>
      </c>
      <c r="AH73" s="4">
        <v>44655</v>
      </c>
      <c r="AI73" s="4">
        <v>0</v>
      </c>
      <c r="AJ73" s="4">
        <v>0</v>
      </c>
      <c r="AK73" s="4">
        <v>11858</v>
      </c>
      <c r="AM73" s="4">
        <f t="shared" si="27"/>
        <v>-111701</v>
      </c>
      <c r="AN73" s="4">
        <f t="shared" si="28"/>
        <v>89670</v>
      </c>
      <c r="AO73" s="6">
        <f t="shared" si="29"/>
        <v>-14824</v>
      </c>
      <c r="AP73" s="4">
        <f t="shared" si="30"/>
        <v>-28961</v>
      </c>
      <c r="AQ73" s="4">
        <f t="shared" si="31"/>
        <v>-212477</v>
      </c>
      <c r="AR73" s="4">
        <f t="shared" si="32"/>
        <v>0</v>
      </c>
      <c r="AS73" s="4">
        <f t="shared" si="33"/>
        <v>-741447</v>
      </c>
      <c r="AT73" s="4">
        <f t="shared" si="34"/>
        <v>-809599</v>
      </c>
      <c r="AU73" s="4">
        <f t="shared" si="35"/>
        <v>0</v>
      </c>
    </row>
    <row r="74" spans="1:47" x14ac:dyDescent="0.25">
      <c r="A74" t="s">
        <v>230</v>
      </c>
      <c r="B74">
        <v>39105</v>
      </c>
      <c r="C74" s="4">
        <f>VLOOKUP(B74,'ER Contributions'!A:D,4,FALSE)</f>
        <v>2417478.5499999998</v>
      </c>
      <c r="D74" s="5">
        <f>VLOOKUP(B74,'ER Contributions'!A:D,3,FALSE)</f>
        <v>7.3550000000000004E-4</v>
      </c>
      <c r="E74" s="6">
        <f>VLOOKUP(B74,'68 - Summary Exhibit'!A:N,3,FALSE)</f>
        <v>10897667</v>
      </c>
      <c r="F74" s="6">
        <f>VLOOKUP(B74,'68 - Summary Exhibit'!A:N,4,FALSE)</f>
        <v>982069</v>
      </c>
      <c r="G74" s="6">
        <f>VLOOKUP(B74,'68 - Summary Exhibit'!A:N,5,FALSE)</f>
        <v>1796974</v>
      </c>
      <c r="H74" s="6">
        <f>VLOOKUP(B74,'68 - Summary Exhibit'!A:N,6,FALSE)</f>
        <v>0</v>
      </c>
      <c r="I74" s="4">
        <f>VLOOKUP(B74,'68 - Summary Exhibit'!A:N,7,FALSE)</f>
        <v>640989</v>
      </c>
      <c r="J74" s="4">
        <f>VLOOKUP(B74,'68 - Summary Exhibit'!A:N,8,FALSE)</f>
        <v>32215</v>
      </c>
      <c r="K74" s="4">
        <f>VLOOKUP(B74,'68 - Summary Exhibit'!A:N,9,FALSE)</f>
        <v>0</v>
      </c>
      <c r="L74" s="4">
        <f>VLOOKUP(B74,'68 - Summary Exhibit'!A:N,10,FALSE)</f>
        <v>0</v>
      </c>
      <c r="M74" s="4">
        <f>VLOOKUP(B74,'68 - Summary Exhibit'!A:N,11,FALSE)</f>
        <v>151249</v>
      </c>
      <c r="N74" s="4">
        <f>VLOOKUP(B74,'68 - Summary Exhibit'!A:N,12,FALSE)</f>
        <v>3010509</v>
      </c>
      <c r="O74" s="4">
        <f>VLOOKUP(B74,'68 - Summary Exhibit'!A:N,13,FALSE)</f>
        <v>169944</v>
      </c>
      <c r="P74" s="4">
        <f t="shared" si="24"/>
        <v>3180453</v>
      </c>
      <c r="Q74" s="4">
        <f>VLOOKUP(B74,'68- Deferred Amortization'!A:G,3,FALSE)</f>
        <v>991594.11236396013</v>
      </c>
      <c r="R74" s="4">
        <f>VLOOKUP(B74,'68- Deferred Amortization'!A:G,4,FALSE)</f>
        <v>2483799.8754147114</v>
      </c>
      <c r="S74" s="4">
        <f>VLOOKUP(B74,'68- Deferred Amortization'!A:G,5,FALSE)</f>
        <v>-46473.303</v>
      </c>
      <c r="T74" s="4">
        <f>VLOOKUP(B74,'68- Deferred Amortization'!A:G,6,FALSE)</f>
        <v>-192353.1085</v>
      </c>
      <c r="U74" s="4">
        <f>VLOOKUP(B74,'68- Deferred Amortization'!A:G,7,FALSE)</f>
        <v>0</v>
      </c>
      <c r="V74" s="4">
        <f t="shared" si="25"/>
        <v>0</v>
      </c>
      <c r="W74" s="4">
        <f t="shared" si="26"/>
        <v>0</v>
      </c>
      <c r="X74">
        <v>2</v>
      </c>
      <c r="AC74" s="6">
        <v>11135217</v>
      </c>
      <c r="AD74" s="6">
        <v>907784</v>
      </c>
      <c r="AE74" s="6">
        <v>3101157</v>
      </c>
      <c r="AF74" s="6">
        <v>391054</v>
      </c>
      <c r="AG74" s="4">
        <v>221781</v>
      </c>
      <c r="AH74" s="4">
        <v>82186</v>
      </c>
      <c r="AI74" s="4">
        <v>0</v>
      </c>
      <c r="AJ74" s="4">
        <v>0</v>
      </c>
      <c r="AK74" s="4">
        <v>302498</v>
      </c>
      <c r="AM74" s="4">
        <f t="shared" si="27"/>
        <v>419208</v>
      </c>
      <c r="AN74" s="4">
        <f t="shared" si="28"/>
        <v>-151249</v>
      </c>
      <c r="AO74" s="6">
        <f t="shared" si="29"/>
        <v>74285</v>
      </c>
      <c r="AP74" s="4">
        <f t="shared" si="30"/>
        <v>-49971</v>
      </c>
      <c r="AQ74" s="4">
        <f t="shared" si="31"/>
        <v>-391054</v>
      </c>
      <c r="AR74" s="4">
        <f t="shared" si="32"/>
        <v>0</v>
      </c>
      <c r="AS74" s="4">
        <f t="shared" si="33"/>
        <v>-237550</v>
      </c>
      <c r="AT74" s="4">
        <f t="shared" si="34"/>
        <v>-1304183</v>
      </c>
      <c r="AU74" s="4">
        <f t="shared" si="35"/>
        <v>0</v>
      </c>
    </row>
    <row r="75" spans="1:47" x14ac:dyDescent="0.25">
      <c r="A75" t="s">
        <v>231</v>
      </c>
      <c r="B75">
        <v>39205</v>
      </c>
      <c r="C75" s="4">
        <f>VLOOKUP(B75,'ER Contributions'!A:D,4,FALSE)</f>
        <v>19298183.769999992</v>
      </c>
      <c r="D75" s="5">
        <f>VLOOKUP(B75,'ER Contributions'!A:D,3,FALSE)</f>
        <v>5.9125000000000002E-3</v>
      </c>
      <c r="E75" s="6">
        <f>VLOOKUP(B75,'68 - Summary Exhibit'!A:N,3,FALSE)</f>
        <v>87603609</v>
      </c>
      <c r="F75" s="6">
        <f>VLOOKUP(B75,'68 - Summary Exhibit'!A:N,4,FALSE)</f>
        <v>7894607</v>
      </c>
      <c r="G75" s="6">
        <f>VLOOKUP(B75,'68 - Summary Exhibit'!A:N,5,FALSE)</f>
        <v>14445420</v>
      </c>
      <c r="H75" s="6">
        <f>VLOOKUP(B75,'68 - Summary Exhibit'!A:N,6,FALSE)</f>
        <v>0</v>
      </c>
      <c r="I75" s="4">
        <f>VLOOKUP(B75,'68 - Summary Exhibit'!A:N,7,FALSE)</f>
        <v>1530734</v>
      </c>
      <c r="J75" s="4">
        <f>VLOOKUP(B75,'68 - Summary Exhibit'!A:N,8,FALSE)</f>
        <v>258968</v>
      </c>
      <c r="K75" s="4">
        <f>VLOOKUP(B75,'68 - Summary Exhibit'!A:N,9,FALSE)</f>
        <v>0</v>
      </c>
      <c r="L75" s="4">
        <f>VLOOKUP(B75,'68 - Summary Exhibit'!A:N,10,FALSE)</f>
        <v>0</v>
      </c>
      <c r="M75" s="4">
        <f>VLOOKUP(B75,'68 - Summary Exhibit'!A:N,11,FALSE)</f>
        <v>296778</v>
      </c>
      <c r="N75" s="4">
        <f>VLOOKUP(B75,'68 - Summary Exhibit'!A:N,12,FALSE)</f>
        <v>24200726</v>
      </c>
      <c r="O75" s="4">
        <f>VLOOKUP(B75,'68 - Summary Exhibit'!A:N,13,FALSE)</f>
        <v>878490</v>
      </c>
      <c r="P75" s="4">
        <f t="shared" si="24"/>
        <v>25079216</v>
      </c>
      <c r="Q75" s="4">
        <f>VLOOKUP(B75,'68- Deferred Amortization'!A:G,3,FALSE)</f>
        <v>7079242.381614944</v>
      </c>
      <c r="R75" s="4">
        <f>VLOOKUP(B75,'68- Deferred Amortization'!A:G,4,FALSE)</f>
        <v>18155637.645733088</v>
      </c>
      <c r="S75" s="4">
        <f>VLOOKUP(B75,'68- Deferred Amortization'!A:G,5,FALSE)</f>
        <v>-373587.22500000003</v>
      </c>
      <c r="T75" s="4">
        <f>VLOOKUP(B75,'68- Deferred Amortization'!A:G,6,FALSE)</f>
        <v>-1546278.3875</v>
      </c>
      <c r="U75" s="4">
        <f>VLOOKUP(B75,'68- Deferred Amortization'!A:G,7,FALSE)</f>
        <v>0</v>
      </c>
      <c r="V75" s="4">
        <f t="shared" si="25"/>
        <v>0</v>
      </c>
      <c r="W75" s="4">
        <f t="shared" si="26"/>
        <v>1</v>
      </c>
      <c r="X75">
        <v>2</v>
      </c>
      <c r="AC75" s="6">
        <v>98076274</v>
      </c>
      <c r="AD75" s="6">
        <v>7995536</v>
      </c>
      <c r="AE75" s="6">
        <v>27314235</v>
      </c>
      <c r="AF75" s="6">
        <v>3444309</v>
      </c>
      <c r="AG75" s="4">
        <v>2132061</v>
      </c>
      <c r="AH75" s="4">
        <v>723872</v>
      </c>
      <c r="AI75" s="4">
        <v>0</v>
      </c>
      <c r="AJ75" s="4">
        <v>0</v>
      </c>
      <c r="AK75" s="4">
        <v>593557</v>
      </c>
      <c r="AM75" s="4">
        <f t="shared" si="27"/>
        <v>-601327</v>
      </c>
      <c r="AN75" s="4">
        <f t="shared" si="28"/>
        <v>-296779</v>
      </c>
      <c r="AO75" s="6">
        <f t="shared" si="29"/>
        <v>-100929</v>
      </c>
      <c r="AP75" s="4">
        <f t="shared" si="30"/>
        <v>-464904</v>
      </c>
      <c r="AQ75" s="4">
        <f t="shared" si="31"/>
        <v>-3444309</v>
      </c>
      <c r="AR75" s="4">
        <f t="shared" si="32"/>
        <v>0</v>
      </c>
      <c r="AS75" s="4">
        <f t="shared" si="33"/>
        <v>-10472665</v>
      </c>
      <c r="AT75" s="4">
        <f t="shared" si="34"/>
        <v>-12868815</v>
      </c>
      <c r="AU75" s="4">
        <f t="shared" si="35"/>
        <v>0</v>
      </c>
    </row>
    <row r="76" spans="1:47" x14ac:dyDescent="0.25">
      <c r="A76" t="s">
        <v>232</v>
      </c>
      <c r="B76">
        <v>39605</v>
      </c>
      <c r="C76" s="4">
        <f>VLOOKUP(B76,'ER Contributions'!A:D,4,FALSE)</f>
        <v>2672094.7200000002</v>
      </c>
      <c r="D76" s="5">
        <f>VLOOKUP(B76,'ER Contributions'!A:D,3,FALSE)</f>
        <v>8.072E-4</v>
      </c>
      <c r="E76" s="6">
        <f>VLOOKUP(B76,'68 - Summary Exhibit'!A:N,3,FALSE)</f>
        <v>11960022</v>
      </c>
      <c r="F76" s="6">
        <f>VLOOKUP(B76,'68 - Summary Exhibit'!A:N,4,FALSE)</f>
        <v>1077806</v>
      </c>
      <c r="G76" s="6">
        <f>VLOOKUP(B76,'68 - Summary Exhibit'!A:N,5,FALSE)</f>
        <v>1972151</v>
      </c>
      <c r="H76" s="6">
        <f>VLOOKUP(B76,'68 - Summary Exhibit'!A:N,6,FALSE)</f>
        <v>0</v>
      </c>
      <c r="I76" s="4">
        <f>VLOOKUP(B76,'68 - Summary Exhibit'!A:N,7,FALSE)</f>
        <v>0</v>
      </c>
      <c r="J76" s="4">
        <f>VLOOKUP(B76,'68 - Summary Exhibit'!A:N,8,FALSE)</f>
        <v>35355</v>
      </c>
      <c r="K76" s="4">
        <f>VLOOKUP(B76,'68 - Summary Exhibit'!A:N,9,FALSE)</f>
        <v>0</v>
      </c>
      <c r="L76" s="4">
        <f>VLOOKUP(B76,'68 - Summary Exhibit'!A:N,10,FALSE)</f>
        <v>0</v>
      </c>
      <c r="M76" s="4">
        <f>VLOOKUP(B76,'68 - Summary Exhibit'!A:N,11,FALSE)</f>
        <v>706995</v>
      </c>
      <c r="N76" s="4">
        <f>VLOOKUP(B76,'68 - Summary Exhibit'!A:N,12,FALSE)</f>
        <v>3303987</v>
      </c>
      <c r="O76" s="4">
        <f>VLOOKUP(B76,'68 - Summary Exhibit'!A:N,13,FALSE)</f>
        <v>-374639</v>
      </c>
      <c r="P76" s="4">
        <f t="shared" si="24"/>
        <v>2929348</v>
      </c>
      <c r="Q76" s="4">
        <f>VLOOKUP(B76,'68- Deferred Amortization'!A:G,3,FALSE)</f>
        <v>505148.24829764524</v>
      </c>
      <c r="R76" s="4">
        <f>VLOOKUP(B76,'68- Deferred Amortization'!A:G,4,FALSE)</f>
        <v>2064566.8965654506</v>
      </c>
      <c r="S76" s="4">
        <f>VLOOKUP(B76,'68- Deferred Amortization'!A:G,5,FALSE)</f>
        <v>-51003.739199999996</v>
      </c>
      <c r="T76" s="4">
        <f>VLOOKUP(B76,'68- Deferred Amortization'!A:G,6,FALSE)</f>
        <v>-211104.5944</v>
      </c>
      <c r="U76" s="4">
        <f>VLOOKUP(B76,'68- Deferred Amortization'!A:G,7,FALSE)</f>
        <v>0</v>
      </c>
      <c r="V76" s="4">
        <f t="shared" si="25"/>
        <v>-1</v>
      </c>
      <c r="W76" s="4">
        <f t="shared" si="26"/>
        <v>0</v>
      </c>
      <c r="X76">
        <v>2</v>
      </c>
      <c r="AC76" s="6">
        <v>14429601</v>
      </c>
      <c r="AD76" s="6">
        <v>1176354</v>
      </c>
      <c r="AE76" s="6">
        <v>4018643</v>
      </c>
      <c r="AF76" s="6">
        <v>506749</v>
      </c>
      <c r="AG76" s="4">
        <v>22728</v>
      </c>
      <c r="AH76" s="4">
        <v>106501</v>
      </c>
      <c r="AI76" s="4">
        <v>0</v>
      </c>
      <c r="AJ76" s="4">
        <v>0</v>
      </c>
      <c r="AK76" s="4">
        <v>583533</v>
      </c>
      <c r="AM76" s="4">
        <f t="shared" si="27"/>
        <v>-22728</v>
      </c>
      <c r="AN76" s="4">
        <f t="shared" si="28"/>
        <v>123462</v>
      </c>
      <c r="AO76" s="6">
        <f t="shared" si="29"/>
        <v>-98548</v>
      </c>
      <c r="AP76" s="4">
        <f t="shared" si="30"/>
        <v>-71146</v>
      </c>
      <c r="AQ76" s="4">
        <f t="shared" si="31"/>
        <v>-506749</v>
      </c>
      <c r="AR76" s="4">
        <f t="shared" si="32"/>
        <v>0</v>
      </c>
      <c r="AS76" s="4">
        <f t="shared" si="33"/>
        <v>-2469579</v>
      </c>
      <c r="AT76" s="4">
        <f t="shared" si="34"/>
        <v>-2046492</v>
      </c>
      <c r="AU76" s="4">
        <f t="shared" si="35"/>
        <v>0</v>
      </c>
    </row>
    <row r="77" spans="1:47" x14ac:dyDescent="0.25">
      <c r="A77" t="s">
        <v>233</v>
      </c>
      <c r="B77">
        <v>31205</v>
      </c>
      <c r="C77" s="4">
        <f>VLOOKUP(B77,'ER Contributions'!A:D,4,FALSE)</f>
        <v>1643662.74</v>
      </c>
      <c r="D77" s="5">
        <f>VLOOKUP(B77,'ER Contributions'!A:D,3,FALSE)</f>
        <v>4.4059999999999998E-4</v>
      </c>
      <c r="E77" s="6">
        <f>VLOOKUP(B77,'68 - Summary Exhibit'!A:N,3,FALSE)</f>
        <v>6528228</v>
      </c>
      <c r="F77" s="6">
        <f>VLOOKUP(B77,'68 - Summary Exhibit'!A:N,4,FALSE)</f>
        <v>588307</v>
      </c>
      <c r="G77" s="6">
        <f>VLOOKUP(B77,'68 - Summary Exhibit'!A:N,5,FALSE)</f>
        <v>1076474</v>
      </c>
      <c r="H77" s="6">
        <f>VLOOKUP(B77,'68 - Summary Exhibit'!A:N,6,FALSE)</f>
        <v>0</v>
      </c>
      <c r="I77" s="4">
        <f>VLOOKUP(B77,'68 - Summary Exhibit'!A:N,7,FALSE)</f>
        <v>48941</v>
      </c>
      <c r="J77" s="4">
        <f>VLOOKUP(B77,'68 - Summary Exhibit'!A:N,8,FALSE)</f>
        <v>19298</v>
      </c>
      <c r="K77" s="4">
        <f>VLOOKUP(B77,'68 - Summary Exhibit'!A:N,9,FALSE)</f>
        <v>0</v>
      </c>
      <c r="L77" s="4">
        <f>VLOOKUP(B77,'68 - Summary Exhibit'!A:N,10,FALSE)</f>
        <v>0</v>
      </c>
      <c r="M77" s="4">
        <f>VLOOKUP(B77,'68 - Summary Exhibit'!A:N,11,FALSE)</f>
        <v>0</v>
      </c>
      <c r="N77" s="4">
        <f>VLOOKUP(B77,'68 - Summary Exhibit'!A:N,12,FALSE)</f>
        <v>1803440</v>
      </c>
      <c r="O77" s="4">
        <f>VLOOKUP(B77,'68 - Summary Exhibit'!A:N,13,FALSE)</f>
        <v>93383</v>
      </c>
      <c r="P77" s="4">
        <f t="shared" si="24"/>
        <v>1896823</v>
      </c>
      <c r="Q77" s="4">
        <f>VLOOKUP(B77,'68- Deferred Amortization'!A:G,3,FALSE)</f>
        <v>522455.64176863624</v>
      </c>
      <c r="R77" s="4">
        <f>VLOOKUP(B77,'68- Deferred Amortization'!A:G,4,FALSE)</f>
        <v>1315036.0645890818</v>
      </c>
      <c r="S77" s="4">
        <f>VLOOKUP(B77,'68- Deferred Amortization'!A:G,5,FALSE)</f>
        <v>-27839.7516</v>
      </c>
      <c r="T77" s="4">
        <f>VLOOKUP(B77,'68- Deferred Amortization'!A:G,6,FALSE)</f>
        <v>-115228.7962</v>
      </c>
      <c r="U77" s="4">
        <f>VLOOKUP(B77,'68- Deferred Amortization'!A:G,7,FALSE)</f>
        <v>0</v>
      </c>
      <c r="V77" s="4">
        <f t="shared" si="25"/>
        <v>0</v>
      </c>
      <c r="W77" s="4">
        <f t="shared" si="26"/>
        <v>1</v>
      </c>
      <c r="X77">
        <v>2</v>
      </c>
      <c r="AC77" s="6">
        <v>7674114</v>
      </c>
      <c r="AD77" s="6">
        <v>625622</v>
      </c>
      <c r="AE77" s="6">
        <v>2137240</v>
      </c>
      <c r="AF77" s="6">
        <v>269505</v>
      </c>
      <c r="AG77" s="4">
        <v>117743</v>
      </c>
      <c r="AH77" s="4">
        <v>56640</v>
      </c>
      <c r="AI77" s="4">
        <v>0</v>
      </c>
      <c r="AJ77" s="4">
        <v>0</v>
      </c>
      <c r="AK77" s="4">
        <v>0</v>
      </c>
      <c r="AM77" s="4">
        <f t="shared" si="27"/>
        <v>-68802</v>
      </c>
      <c r="AN77" s="4">
        <f t="shared" si="28"/>
        <v>0</v>
      </c>
      <c r="AO77" s="6">
        <f t="shared" si="29"/>
        <v>-37315</v>
      </c>
      <c r="AP77" s="4">
        <f t="shared" si="30"/>
        <v>-37342</v>
      </c>
      <c r="AQ77" s="4">
        <f t="shared" si="31"/>
        <v>-269505</v>
      </c>
      <c r="AR77" s="4">
        <f t="shared" si="32"/>
        <v>0</v>
      </c>
      <c r="AS77" s="4">
        <f t="shared" si="33"/>
        <v>-1145886</v>
      </c>
      <c r="AT77" s="4">
        <f t="shared" si="34"/>
        <v>-1060766</v>
      </c>
      <c r="AU77" s="4">
        <f t="shared" si="35"/>
        <v>0</v>
      </c>
    </row>
    <row r="78" spans="1:47" x14ac:dyDescent="0.25">
      <c r="A78" t="s">
        <v>234</v>
      </c>
      <c r="B78">
        <v>39705</v>
      </c>
      <c r="C78" s="4">
        <f>VLOOKUP(B78,'ER Contributions'!A:D,4,FALSE)</f>
        <v>2729218.1399999997</v>
      </c>
      <c r="D78" s="5">
        <f>VLOOKUP(B78,'ER Contributions'!A:D,3,FALSE)</f>
        <v>8.7390000000000005E-4</v>
      </c>
      <c r="E78" s="6">
        <f>VLOOKUP(B78,'68 - Summary Exhibit'!A:N,3,FALSE)</f>
        <v>12948295</v>
      </c>
      <c r="F78" s="6">
        <f>VLOOKUP(B78,'68 - Summary Exhibit'!A:N,4,FALSE)</f>
        <v>1166866</v>
      </c>
      <c r="G78" s="6">
        <f>VLOOKUP(B78,'68 - Summary Exhibit'!A:N,5,FALSE)</f>
        <v>2135112</v>
      </c>
      <c r="H78" s="6">
        <f>VLOOKUP(B78,'68 - Summary Exhibit'!A:N,6,FALSE)</f>
        <v>0</v>
      </c>
      <c r="I78" s="4">
        <f>VLOOKUP(B78,'68 - Summary Exhibit'!A:N,7,FALSE)</f>
        <v>58775</v>
      </c>
      <c r="J78" s="4">
        <f>VLOOKUP(B78,'68 - Summary Exhibit'!A:N,8,FALSE)</f>
        <v>38277</v>
      </c>
      <c r="K78" s="4">
        <f>VLOOKUP(B78,'68 - Summary Exhibit'!A:N,9,FALSE)</f>
        <v>0</v>
      </c>
      <c r="L78" s="4">
        <f>VLOOKUP(B78,'68 - Summary Exhibit'!A:N,10,FALSE)</f>
        <v>0</v>
      </c>
      <c r="M78" s="4">
        <f>VLOOKUP(B78,'68 - Summary Exhibit'!A:N,11,FALSE)</f>
        <v>134324</v>
      </c>
      <c r="N78" s="4">
        <f>VLOOKUP(B78,'68 - Summary Exhibit'!A:N,12,FALSE)</f>
        <v>3577000</v>
      </c>
      <c r="O78" s="4">
        <f>VLOOKUP(B78,'68 - Summary Exhibit'!A:N,13,FALSE)</f>
        <v>-41415</v>
      </c>
      <c r="P78" s="4">
        <f t="shared" si="24"/>
        <v>3535585</v>
      </c>
      <c r="Q78" s="4">
        <f>VLOOKUP(B78,'68- Deferred Amortization'!A:G,3,FALSE)</f>
        <v>968704.4390833478</v>
      </c>
      <c r="R78" s="4">
        <f>VLOOKUP(B78,'68- Deferred Amortization'!A:G,4,FALSE)</f>
        <v>2503215.8080733041</v>
      </c>
      <c r="S78" s="4">
        <f>VLOOKUP(B78,'68- Deferred Amortization'!A:G,5,FALSE)</f>
        <v>-55218.2454</v>
      </c>
      <c r="T78" s="4">
        <f>VLOOKUP(B78,'68- Deferred Amortization'!A:G,6,FALSE)</f>
        <v>-228548.44530000002</v>
      </c>
      <c r="U78" s="4">
        <f>VLOOKUP(B78,'68- Deferred Amortization'!A:G,7,FALSE)</f>
        <v>0</v>
      </c>
      <c r="V78" s="4">
        <f t="shared" si="25"/>
        <v>-1</v>
      </c>
      <c r="W78" s="4">
        <f t="shared" si="26"/>
        <v>-2</v>
      </c>
      <c r="X78">
        <v>2</v>
      </c>
      <c r="AC78" s="6">
        <v>14696353</v>
      </c>
      <c r="AD78" s="6">
        <v>1198100</v>
      </c>
      <c r="AE78" s="6">
        <v>4092933</v>
      </c>
      <c r="AF78" s="6">
        <v>516116</v>
      </c>
      <c r="AG78" s="4">
        <v>117550</v>
      </c>
      <c r="AH78" s="4">
        <v>108469</v>
      </c>
      <c r="AI78" s="4">
        <v>0</v>
      </c>
      <c r="AJ78" s="4">
        <v>0</v>
      </c>
      <c r="AK78" s="4">
        <v>73652</v>
      </c>
      <c r="AM78" s="4">
        <f t="shared" si="27"/>
        <v>-58775</v>
      </c>
      <c r="AN78" s="4">
        <f t="shared" si="28"/>
        <v>60672</v>
      </c>
      <c r="AO78" s="6">
        <f t="shared" si="29"/>
        <v>-31234</v>
      </c>
      <c r="AP78" s="4">
        <f t="shared" si="30"/>
        <v>-70192</v>
      </c>
      <c r="AQ78" s="4">
        <f t="shared" si="31"/>
        <v>-516116</v>
      </c>
      <c r="AR78" s="4">
        <f t="shared" si="32"/>
        <v>0</v>
      </c>
      <c r="AS78" s="4">
        <f t="shared" si="33"/>
        <v>-1748058</v>
      </c>
      <c r="AT78" s="4">
        <f t="shared" si="34"/>
        <v>-1957821</v>
      </c>
      <c r="AU78" s="4">
        <f t="shared" si="35"/>
        <v>0</v>
      </c>
    </row>
    <row r="79" spans="1:47" x14ac:dyDescent="0.25">
      <c r="A79" t="s">
        <v>235</v>
      </c>
      <c r="B79">
        <v>39805</v>
      </c>
      <c r="C79" s="4">
        <f>VLOOKUP(B79,'ER Contributions'!A:D,4,FALSE)</f>
        <v>1492313.98</v>
      </c>
      <c r="D79" s="5">
        <f>VLOOKUP(B79,'ER Contributions'!A:D,3,FALSE)</f>
        <v>4.5459999999999999E-4</v>
      </c>
      <c r="E79" s="6">
        <f>VLOOKUP(B79,'68 - Summary Exhibit'!A:N,3,FALSE)</f>
        <v>6735662</v>
      </c>
      <c r="F79" s="6">
        <f>VLOOKUP(B79,'68 - Summary Exhibit'!A:N,4,FALSE)</f>
        <v>607000</v>
      </c>
      <c r="G79" s="6">
        <f>VLOOKUP(B79,'68 - Summary Exhibit'!A:N,5,FALSE)</f>
        <v>1110679</v>
      </c>
      <c r="H79" s="6">
        <f>VLOOKUP(B79,'68 - Summary Exhibit'!A:N,6,FALSE)</f>
        <v>0</v>
      </c>
      <c r="I79" s="4">
        <f>VLOOKUP(B79,'68 - Summary Exhibit'!A:N,7,FALSE)</f>
        <v>203235</v>
      </c>
      <c r="J79" s="4">
        <f>VLOOKUP(B79,'68 - Summary Exhibit'!A:N,8,FALSE)</f>
        <v>19911</v>
      </c>
      <c r="K79" s="4">
        <f>VLOOKUP(B79,'68 - Summary Exhibit'!A:N,9,FALSE)</f>
        <v>0</v>
      </c>
      <c r="L79" s="4">
        <f>VLOOKUP(B79,'68 - Summary Exhibit'!A:N,10,FALSE)</f>
        <v>0</v>
      </c>
      <c r="M79" s="4">
        <f>VLOOKUP(B79,'68 - Summary Exhibit'!A:N,11,FALSE)</f>
        <v>8362</v>
      </c>
      <c r="N79" s="4">
        <f>VLOOKUP(B79,'68 - Summary Exhibit'!A:N,12,FALSE)</f>
        <v>1860744</v>
      </c>
      <c r="O79" s="4">
        <f>VLOOKUP(B79,'68 - Summary Exhibit'!A:N,13,FALSE)</f>
        <v>82359</v>
      </c>
      <c r="P79" s="4">
        <f t="shared" si="24"/>
        <v>1943103</v>
      </c>
      <c r="Q79" s="4">
        <f>VLOOKUP(B79,'68- Deferred Amortization'!A:G,3,FALSE)</f>
        <v>604492.95953440305</v>
      </c>
      <c r="R79" s="4">
        <f>VLOOKUP(B79,'68- Deferred Amortization'!A:G,4,FALSE)</f>
        <v>1435762.6860190425</v>
      </c>
      <c r="S79" s="4">
        <f>VLOOKUP(B79,'68- Deferred Amortization'!A:G,5,FALSE)</f>
        <v>-28724.355599999999</v>
      </c>
      <c r="T79" s="4">
        <f>VLOOKUP(B79,'68- Deferred Amortization'!A:G,6,FALSE)</f>
        <v>-118890.17419999999</v>
      </c>
      <c r="U79" s="4">
        <f>VLOOKUP(B79,'68- Deferred Amortization'!A:G,7,FALSE)</f>
        <v>0</v>
      </c>
      <c r="V79" s="4">
        <f t="shared" si="25"/>
        <v>0</v>
      </c>
      <c r="W79" s="4">
        <f t="shared" si="26"/>
        <v>0</v>
      </c>
      <c r="X79">
        <v>2</v>
      </c>
      <c r="AC79" s="6">
        <v>7128940</v>
      </c>
      <c r="AD79" s="6">
        <v>581177</v>
      </c>
      <c r="AE79" s="6">
        <v>1985409</v>
      </c>
      <c r="AF79" s="6">
        <v>250359</v>
      </c>
      <c r="AG79" s="4">
        <v>0</v>
      </c>
      <c r="AH79" s="4">
        <v>52617</v>
      </c>
      <c r="AI79" s="4">
        <v>0</v>
      </c>
      <c r="AJ79" s="4">
        <v>0</v>
      </c>
      <c r="AK79" s="4">
        <v>27620</v>
      </c>
      <c r="AM79" s="4">
        <f t="shared" si="27"/>
        <v>203235</v>
      </c>
      <c r="AN79" s="4">
        <f t="shared" si="28"/>
        <v>-19258</v>
      </c>
      <c r="AO79" s="6">
        <f t="shared" si="29"/>
        <v>25823</v>
      </c>
      <c r="AP79" s="4">
        <f t="shared" si="30"/>
        <v>-32706</v>
      </c>
      <c r="AQ79" s="4">
        <f t="shared" si="31"/>
        <v>-250359</v>
      </c>
      <c r="AR79" s="4">
        <f t="shared" si="32"/>
        <v>0</v>
      </c>
      <c r="AS79" s="4">
        <f t="shared" si="33"/>
        <v>-393278</v>
      </c>
      <c r="AT79" s="4">
        <f t="shared" si="34"/>
        <v>-874730</v>
      </c>
      <c r="AU79" s="4">
        <f t="shared" si="35"/>
        <v>0</v>
      </c>
    </row>
    <row r="80" spans="1:47" x14ac:dyDescent="0.25">
      <c r="A80" t="s">
        <v>236</v>
      </c>
      <c r="B80">
        <v>11310</v>
      </c>
      <c r="C80" s="4">
        <f>VLOOKUP(B80,'ER Contributions'!A:D,4,FALSE)</f>
        <v>2083968.6500000001</v>
      </c>
      <c r="D80" s="5">
        <f>VLOOKUP(B80,'ER Contributions'!A:D,3,FALSE)</f>
        <v>5.9579999999999995E-4</v>
      </c>
      <c r="E80" s="6">
        <f>VLOOKUP(B80,'68 - Summary Exhibit'!A:N,3,FALSE)</f>
        <v>8827777</v>
      </c>
      <c r="F80" s="6">
        <f>VLOOKUP(B80,'68 - Summary Exhibit'!A:N,4,FALSE)</f>
        <v>795536</v>
      </c>
      <c r="G80" s="6">
        <f>VLOOKUP(B80,'68 - Summary Exhibit'!A:N,5,FALSE)</f>
        <v>1455659</v>
      </c>
      <c r="H80" s="6">
        <f>VLOOKUP(B80,'68 - Summary Exhibit'!A:N,6,FALSE)</f>
        <v>0</v>
      </c>
      <c r="I80" s="4">
        <f>VLOOKUP(B80,'68 - Summary Exhibit'!A:N,7,FALSE)</f>
        <v>344603</v>
      </c>
      <c r="J80" s="4">
        <f>VLOOKUP(B80,'68 - Summary Exhibit'!A:N,8,FALSE)</f>
        <v>26096</v>
      </c>
      <c r="K80" s="4">
        <f>VLOOKUP(B80,'68 - Summary Exhibit'!A:N,9,FALSE)</f>
        <v>0</v>
      </c>
      <c r="L80" s="4">
        <f>VLOOKUP(B80,'68 - Summary Exhibit'!A:N,10,FALSE)</f>
        <v>0</v>
      </c>
      <c r="M80" s="4">
        <f>VLOOKUP(B80,'68 - Summary Exhibit'!A:N,11,FALSE)</f>
        <v>0</v>
      </c>
      <c r="N80" s="4">
        <f>VLOOKUP(B80,'68 - Summary Exhibit'!A:N,12,FALSE)</f>
        <v>2438696</v>
      </c>
      <c r="O80" s="4">
        <f>VLOOKUP(B80,'68 - Summary Exhibit'!A:N,13,FALSE)</f>
        <v>262102</v>
      </c>
      <c r="P80" s="4">
        <f t="shared" si="24"/>
        <v>2700798</v>
      </c>
      <c r="Q80" s="4">
        <f>VLOOKUP(B80,'68- Deferred Amortization'!A:G,3,FALSE)</f>
        <v>848826.75894103863</v>
      </c>
      <c r="R80" s="4">
        <f>VLOOKUP(B80,'68- Deferred Amortization'!A:G,4,FALSE)</f>
        <v>1914338.2675980222</v>
      </c>
      <c r="S80" s="4">
        <f>VLOOKUP(B80,'68- Deferred Amortization'!A:G,5,FALSE)</f>
        <v>-37646.218799999995</v>
      </c>
      <c r="T80" s="4">
        <f>VLOOKUP(B80,'68- Deferred Amortization'!A:G,6,FALSE)</f>
        <v>-155817.78659999999</v>
      </c>
      <c r="U80" s="4">
        <f>VLOOKUP(B80,'68- Deferred Amortization'!A:G,7,FALSE)</f>
        <v>0</v>
      </c>
      <c r="V80" s="4">
        <f t="shared" si="25"/>
        <v>-1</v>
      </c>
      <c r="W80" s="4">
        <f t="shared" si="26"/>
        <v>1</v>
      </c>
      <c r="X80">
        <v>3</v>
      </c>
      <c r="AC80" s="6">
        <v>9659747</v>
      </c>
      <c r="AD80" s="6">
        <v>787498</v>
      </c>
      <c r="AE80" s="6">
        <v>2690239</v>
      </c>
      <c r="AF80" s="6">
        <v>339238</v>
      </c>
      <c r="AG80" s="4">
        <v>272823</v>
      </c>
      <c r="AH80" s="4">
        <v>71296</v>
      </c>
      <c r="AI80" s="4">
        <v>0</v>
      </c>
      <c r="AJ80" s="4">
        <v>0</v>
      </c>
      <c r="AK80" s="4">
        <v>0</v>
      </c>
      <c r="AM80" s="4">
        <f t="shared" si="27"/>
        <v>71780</v>
      </c>
      <c r="AN80" s="4">
        <f t="shared" si="28"/>
        <v>0</v>
      </c>
      <c r="AO80" s="6">
        <f t="shared" si="29"/>
        <v>8038</v>
      </c>
      <c r="AP80" s="4">
        <f t="shared" si="30"/>
        <v>-45200</v>
      </c>
      <c r="AQ80" s="4">
        <f t="shared" si="31"/>
        <v>-339238</v>
      </c>
      <c r="AR80" s="4">
        <f t="shared" si="32"/>
        <v>0</v>
      </c>
      <c r="AS80" s="4">
        <f t="shared" si="33"/>
        <v>-831970</v>
      </c>
      <c r="AT80" s="4">
        <f t="shared" si="34"/>
        <v>-1234580</v>
      </c>
      <c r="AU80" s="4">
        <f t="shared" si="35"/>
        <v>0</v>
      </c>
    </row>
    <row r="81" spans="1:47" x14ac:dyDescent="0.25">
      <c r="A81" s="131" t="s">
        <v>237</v>
      </c>
      <c r="B81" s="132">
        <v>14300.2</v>
      </c>
      <c r="C81" s="133">
        <f>VLOOKUP(B81,'ER Contributions'!A:D,4,FALSE)</f>
        <v>688410</v>
      </c>
      <c r="D81" s="135">
        <f>VLOOKUP(B81,'ER Contributions'!A:D,3,FALSE)</f>
        <v>1.75E-4</v>
      </c>
      <c r="E81" s="134">
        <f>VLOOKUP(B81,'68 - Summary Exhibit'!A:N,3,FALSE)</f>
        <v>2592919</v>
      </c>
      <c r="F81" s="134">
        <f>VLOOKUP(B81,'68 - Summary Exhibit'!A:N,4,FALSE)</f>
        <v>233667</v>
      </c>
      <c r="G81" s="134">
        <f>VLOOKUP(B81,'68 - Summary Exhibit'!A:N,5,FALSE)</f>
        <v>427560</v>
      </c>
      <c r="H81" s="134">
        <f>VLOOKUP(B81,'68 - Summary Exhibit'!A:N,6,FALSE)</f>
        <v>0</v>
      </c>
      <c r="I81" s="133">
        <f>VLOOKUP(B81,'68 - Summary Exhibit'!A:N,7,FALSE)</f>
        <v>7940</v>
      </c>
      <c r="J81" s="133">
        <f>VLOOKUP(B81,'68 - Summary Exhibit'!A:N,8,FALSE)</f>
        <v>7665</v>
      </c>
      <c r="K81" s="133">
        <f>VLOOKUP(B81,'68 - Summary Exhibit'!A:N,9,FALSE)</f>
        <v>0</v>
      </c>
      <c r="L81" s="133">
        <f>VLOOKUP(B81,'68 - Summary Exhibit'!A:N,10,FALSE)</f>
        <v>0</v>
      </c>
      <c r="M81" s="133">
        <f>VLOOKUP(B81,'68 - Summary Exhibit'!A:N,11,FALSE)</f>
        <v>152255</v>
      </c>
      <c r="N81" s="133">
        <f>VLOOKUP(B81,'68 - Summary Exhibit'!A:N,12,FALSE)</f>
        <v>716301</v>
      </c>
      <c r="O81" s="133">
        <f>VLOOKUP(B81,'68 - Summary Exhibit'!A:N,13,FALSE)</f>
        <v>-110342</v>
      </c>
      <c r="P81" s="133">
        <f t="shared" ref="P81:P85" si="36">N81+O81</f>
        <v>605959</v>
      </c>
      <c r="Q81" s="133">
        <f>VLOOKUP(B81,'68- Deferred Amortization'!A:G,3,FALSE)</f>
        <v>127476.89980408322</v>
      </c>
      <c r="R81" s="133">
        <f>VLOOKUP(B81,'68- Deferred Amortization'!A:G,4,FALSE)</f>
        <v>438595.23303034517</v>
      </c>
      <c r="S81" s="133">
        <f>VLOOKUP(B81,'68- Deferred Amortization'!A:G,5,FALSE)</f>
        <v>-11057.55</v>
      </c>
      <c r="T81" s="133">
        <f>VLOOKUP(B81,'68- Deferred Amortization'!A:G,6,FALSE)</f>
        <v>-45767.224999999999</v>
      </c>
      <c r="U81" s="133">
        <f>VLOOKUP(B81,'68- Deferred Amortization'!A:G,7,FALSE)</f>
        <v>0</v>
      </c>
      <c r="V81" s="133">
        <f t="shared" si="25"/>
        <v>0</v>
      </c>
      <c r="W81" s="133">
        <f t="shared" si="26"/>
        <v>0</v>
      </c>
      <c r="X81" s="132">
        <v>3</v>
      </c>
      <c r="Y81" s="132"/>
      <c r="Z81" s="132"/>
      <c r="AA81" s="132"/>
      <c r="AB81" s="132"/>
      <c r="AC81" s="134">
        <v>3426093</v>
      </c>
      <c r="AD81" s="134">
        <v>279308</v>
      </c>
      <c r="AE81" s="134">
        <v>954167</v>
      </c>
      <c r="AF81" s="134">
        <v>120320</v>
      </c>
      <c r="AG81" s="133">
        <v>15880</v>
      </c>
      <c r="AH81" s="133">
        <v>25287</v>
      </c>
      <c r="AI81" s="133">
        <v>0</v>
      </c>
      <c r="AJ81" s="133">
        <v>0</v>
      </c>
      <c r="AK81" s="133">
        <v>84418</v>
      </c>
      <c r="AL81" s="132"/>
      <c r="AM81" s="133">
        <f t="shared" si="27"/>
        <v>-7940</v>
      </c>
      <c r="AN81" s="133">
        <f t="shared" si="28"/>
        <v>67837</v>
      </c>
      <c r="AO81" s="134">
        <f t="shared" si="29"/>
        <v>-45641</v>
      </c>
      <c r="AP81" s="133">
        <f t="shared" si="30"/>
        <v>-17622</v>
      </c>
      <c r="AQ81" s="4">
        <f t="shared" si="31"/>
        <v>-120320</v>
      </c>
      <c r="AR81" s="4">
        <f t="shared" si="32"/>
        <v>0</v>
      </c>
      <c r="AS81" s="4">
        <f t="shared" si="33"/>
        <v>-833174</v>
      </c>
      <c r="AT81" s="4">
        <f t="shared" si="34"/>
        <v>-526607</v>
      </c>
      <c r="AU81" s="4">
        <f t="shared" si="35"/>
        <v>0</v>
      </c>
    </row>
    <row r="82" spans="1:47" x14ac:dyDescent="0.25">
      <c r="A82" s="131" t="s">
        <v>238</v>
      </c>
      <c r="B82" s="132">
        <v>21525</v>
      </c>
      <c r="C82" s="133">
        <f>VLOOKUP(B82,'ER Contributions'!A:D,4,FALSE)</f>
        <v>4558892</v>
      </c>
      <c r="D82" s="135">
        <f>VLOOKUP(B82,'ER Contributions'!A:D,3,FALSE)</f>
        <v>1.3163000000000001E-3</v>
      </c>
      <c r="E82" s="134">
        <f>VLOOKUP(B82,'68 - Summary Exhibit'!A:N,3,FALSE)</f>
        <v>19503193</v>
      </c>
      <c r="F82" s="134">
        <f>VLOOKUP(B82,'68 - Summary Exhibit'!A:N,4,FALSE)</f>
        <v>1757576</v>
      </c>
      <c r="G82" s="134">
        <f>VLOOKUP(B82,'68 - Summary Exhibit'!A:N,5,FALSE)</f>
        <v>3215984</v>
      </c>
      <c r="H82" s="134">
        <f>VLOOKUP(B82,'68 - Summary Exhibit'!A:N,6,FALSE)</f>
        <v>0</v>
      </c>
      <c r="I82" s="133">
        <f>VLOOKUP(B82,'68 - Summary Exhibit'!A:N,7,FALSE)</f>
        <v>1646933</v>
      </c>
      <c r="J82" s="133">
        <f>VLOOKUP(B82,'68 - Summary Exhibit'!A:N,8,FALSE)</f>
        <v>57654</v>
      </c>
      <c r="K82" s="133">
        <f>VLOOKUP(B82,'68 - Summary Exhibit'!A:N,9,FALSE)</f>
        <v>0</v>
      </c>
      <c r="L82" s="133">
        <f>VLOOKUP(B82,'68 - Summary Exhibit'!A:N,10,FALSE)</f>
        <v>0</v>
      </c>
      <c r="M82" s="133">
        <f>VLOOKUP(B82,'68 - Summary Exhibit'!A:N,11,FALSE)</f>
        <v>0</v>
      </c>
      <c r="N82" s="133">
        <f>VLOOKUP(B82,'68 - Summary Exhibit'!A:N,12,FALSE)</f>
        <v>5387808</v>
      </c>
      <c r="O82" s="133">
        <f>VLOOKUP(B82,'68 - Summary Exhibit'!A:N,13,FALSE)</f>
        <v>1340980</v>
      </c>
      <c r="P82" s="133">
        <f t="shared" si="36"/>
        <v>6728788</v>
      </c>
      <c r="Q82" s="133">
        <f>VLOOKUP(B82,'68- Deferred Amortization'!A:G,3,FALSE)</f>
        <v>2411513.0424833819</v>
      </c>
      <c r="R82" s="133">
        <f>VLOOKUP(B82,'68- Deferred Amortization'!A:G,4,FALSE)</f>
        <v>4578746.1738600917</v>
      </c>
      <c r="S82" s="133">
        <f>VLOOKUP(B82,'68- Deferred Amortization'!A:G,5,FALSE)</f>
        <v>-83171.731800000009</v>
      </c>
      <c r="T82" s="133">
        <f>VLOOKUP(B82,'68- Deferred Amortization'!A:G,6,FALSE)</f>
        <v>-344247.9901</v>
      </c>
      <c r="U82" s="133">
        <f>VLOOKUP(B82,'68- Deferred Amortization'!A:G,7,FALSE)</f>
        <v>0</v>
      </c>
      <c r="V82" s="133">
        <f t="shared" si="25"/>
        <v>-1</v>
      </c>
      <c r="W82" s="133">
        <f t="shared" si="26"/>
        <v>0</v>
      </c>
      <c r="X82" s="134">
        <v>1</v>
      </c>
      <c r="Y82" s="155"/>
      <c r="Z82" s="132"/>
      <c r="AA82" s="132"/>
      <c r="AB82" s="132"/>
      <c r="AC82" s="134">
        <v>19414524</v>
      </c>
      <c r="AD82" s="134">
        <v>1582743</v>
      </c>
      <c r="AE82" s="134">
        <v>5406944</v>
      </c>
      <c r="AF82" s="134">
        <v>681812</v>
      </c>
      <c r="AG82" s="133">
        <v>1115861</v>
      </c>
      <c r="AH82" s="133">
        <v>143293</v>
      </c>
      <c r="AI82" s="133">
        <v>0</v>
      </c>
      <c r="AJ82" s="133">
        <v>0</v>
      </c>
      <c r="AK82" s="133">
        <v>0</v>
      </c>
      <c r="AL82" s="132"/>
      <c r="AM82" s="133">
        <f t="shared" si="27"/>
        <v>531072</v>
      </c>
      <c r="AN82" s="133">
        <f t="shared" si="28"/>
        <v>0</v>
      </c>
      <c r="AO82" s="134">
        <f t="shared" si="29"/>
        <v>174833</v>
      </c>
      <c r="AP82" s="133">
        <f t="shared" si="30"/>
        <v>-85639</v>
      </c>
      <c r="AQ82" s="4">
        <f t="shared" si="31"/>
        <v>-681812</v>
      </c>
      <c r="AR82" s="4">
        <f t="shared" si="32"/>
        <v>0</v>
      </c>
      <c r="AS82" s="4">
        <f t="shared" si="33"/>
        <v>88669</v>
      </c>
      <c r="AT82" s="4">
        <f t="shared" si="34"/>
        <v>-2190960</v>
      </c>
      <c r="AU82" s="4">
        <f t="shared" si="35"/>
        <v>0</v>
      </c>
    </row>
    <row r="83" spans="1:47" x14ac:dyDescent="0.25">
      <c r="A83" s="131" t="s">
        <v>239</v>
      </c>
      <c r="B83" s="132">
        <v>21525.200000000001</v>
      </c>
      <c r="C83" s="133">
        <f>VLOOKUP(B83,'ER Contributions'!A:D,4,FALSE)</f>
        <v>734736</v>
      </c>
      <c r="D83" s="135">
        <f>VLOOKUP(B83,'ER Contributions'!A:D,3,FALSE)</f>
        <v>1.918E-4</v>
      </c>
      <c r="E83" s="134">
        <f>VLOOKUP(B83,'68 - Summary Exhibit'!A:N,3,FALSE)</f>
        <v>2841839</v>
      </c>
      <c r="F83" s="134">
        <f>VLOOKUP(B83,'68 - Summary Exhibit'!A:N,4,FALSE)</f>
        <v>256099</v>
      </c>
      <c r="G83" s="134">
        <f>VLOOKUP(B83,'68 - Summary Exhibit'!A:N,5,FALSE)</f>
        <v>468606</v>
      </c>
      <c r="H83" s="134">
        <f>VLOOKUP(B83,'68 - Summary Exhibit'!A:N,6,FALSE)</f>
        <v>0</v>
      </c>
      <c r="I83" s="133">
        <f>VLOOKUP(B83,'68 - Summary Exhibit'!A:N,7,FALSE)</f>
        <v>406188</v>
      </c>
      <c r="J83" s="133">
        <f>VLOOKUP(B83,'68 - Summary Exhibit'!A:N,8,FALSE)</f>
        <v>8401</v>
      </c>
      <c r="K83" s="133">
        <f>VLOOKUP(B83,'68 - Summary Exhibit'!A:N,9,FALSE)</f>
        <v>0</v>
      </c>
      <c r="L83" s="133">
        <f>VLOOKUP(B83,'68 - Summary Exhibit'!A:N,10,FALSE)</f>
        <v>0</v>
      </c>
      <c r="M83" s="133">
        <f>VLOOKUP(B83,'68 - Summary Exhibit'!A:N,11,FALSE)</f>
        <v>0</v>
      </c>
      <c r="N83" s="133">
        <f>VLOOKUP(B83,'68 - Summary Exhibit'!A:N,12,FALSE)</f>
        <v>785065</v>
      </c>
      <c r="O83" s="133">
        <f>VLOOKUP(B83,'68 - Summary Exhibit'!A:N,13,FALSE)</f>
        <v>302224</v>
      </c>
      <c r="P83" s="133">
        <f t="shared" si="36"/>
        <v>1087289</v>
      </c>
      <c r="Q83" s="133">
        <f>VLOOKUP(B83,'68- Deferred Amortization'!A:G,3,FALSE)</f>
        <v>451238.3372409658</v>
      </c>
      <c r="R83" s="133">
        <f>VLOOKUP(B83,'68- Deferred Amortization'!A:G,4,FALSE)</f>
        <v>733533.9888111148</v>
      </c>
      <c r="S83" s="133">
        <f>VLOOKUP(B83,'68- Deferred Amortization'!A:G,5,FALSE)</f>
        <v>-12119.0748</v>
      </c>
      <c r="T83" s="133">
        <f>VLOOKUP(B83,'68- Deferred Amortization'!A:G,6,FALSE)</f>
        <v>-50160.878599999996</v>
      </c>
      <c r="U83" s="133">
        <f>VLOOKUP(B83,'68- Deferred Amortization'!A:G,7,FALSE)</f>
        <v>0</v>
      </c>
      <c r="V83" s="133">
        <f t="shared" si="25"/>
        <v>-2</v>
      </c>
      <c r="W83" s="133">
        <f t="shared" si="26"/>
        <v>0</v>
      </c>
      <c r="X83" s="132">
        <v>3</v>
      </c>
      <c r="Y83" s="155"/>
      <c r="Z83" s="132"/>
      <c r="AA83" s="132"/>
      <c r="AB83" s="132"/>
      <c r="AC83" s="134">
        <v>2862579</v>
      </c>
      <c r="AD83" s="134">
        <v>233368</v>
      </c>
      <c r="AE83" s="134">
        <v>797228</v>
      </c>
      <c r="AF83" s="134">
        <v>100530</v>
      </c>
      <c r="AG83" s="133">
        <v>385789</v>
      </c>
      <c r="AH83" s="133">
        <v>21128</v>
      </c>
      <c r="AI83" s="133">
        <v>0</v>
      </c>
      <c r="AJ83" s="133">
        <v>0</v>
      </c>
      <c r="AK83" s="133">
        <v>0</v>
      </c>
      <c r="AL83" s="132"/>
      <c r="AM83" s="133">
        <f t="shared" si="27"/>
        <v>20399</v>
      </c>
      <c r="AN83" s="133">
        <f t="shared" si="28"/>
        <v>0</v>
      </c>
      <c r="AO83" s="134">
        <f t="shared" si="29"/>
        <v>22731</v>
      </c>
      <c r="AP83" s="133">
        <f t="shared" si="30"/>
        <v>-12727</v>
      </c>
      <c r="AQ83" s="4">
        <f t="shared" si="31"/>
        <v>-100530</v>
      </c>
      <c r="AR83" s="4">
        <f t="shared" si="32"/>
        <v>0</v>
      </c>
      <c r="AS83" s="4">
        <f t="shared" si="33"/>
        <v>-20740</v>
      </c>
      <c r="AT83" s="4">
        <f t="shared" si="34"/>
        <v>-328622</v>
      </c>
      <c r="AU83" s="4">
        <f t="shared" si="35"/>
        <v>0</v>
      </c>
    </row>
    <row r="84" spans="1:47" x14ac:dyDescent="0.25">
      <c r="A84" s="131" t="s">
        <v>240</v>
      </c>
      <c r="B84" s="132">
        <v>51000.2</v>
      </c>
      <c r="C84" s="133">
        <f>VLOOKUP(B84,'ER Contributions'!A:D,4,FALSE)</f>
        <v>233747</v>
      </c>
      <c r="D84" s="135">
        <f>VLOOKUP(B84,'ER Contributions'!A:D,3,FALSE)</f>
        <v>5.0399999999999999E-5</v>
      </c>
      <c r="E84" s="134">
        <f>VLOOKUP(B84,'68 - Summary Exhibit'!A:N,3,FALSE)</f>
        <v>746761</v>
      </c>
      <c r="F84" s="134">
        <f>VLOOKUP(B84,'68 - Summary Exhibit'!A:N,4,FALSE)</f>
        <v>67296</v>
      </c>
      <c r="G84" s="134">
        <f>VLOOKUP(B84,'68 - Summary Exhibit'!A:N,5,FALSE)</f>
        <v>123137</v>
      </c>
      <c r="H84" s="134">
        <f>VLOOKUP(B84,'68 - Summary Exhibit'!A:N,6,FALSE)</f>
        <v>0</v>
      </c>
      <c r="I84" s="133">
        <f>VLOOKUP(B84,'68 - Summary Exhibit'!A:N,7,FALSE)</f>
        <v>207203</v>
      </c>
      <c r="J84" s="133">
        <f>VLOOKUP(B84,'68 - Summary Exhibit'!A:N,8,FALSE)</f>
        <v>2208</v>
      </c>
      <c r="K84" s="133">
        <f>VLOOKUP(B84,'68 - Summary Exhibit'!A:N,9,FALSE)</f>
        <v>0</v>
      </c>
      <c r="L84" s="133">
        <f>VLOOKUP(B84,'68 - Summary Exhibit'!A:N,10,FALSE)</f>
        <v>0</v>
      </c>
      <c r="M84" s="133">
        <f>VLOOKUP(B84,'68 - Summary Exhibit'!A:N,11,FALSE)</f>
        <v>0</v>
      </c>
      <c r="N84" s="133">
        <f>VLOOKUP(B84,'68 - Summary Exhibit'!A:N,12,FALSE)</f>
        <v>206295</v>
      </c>
      <c r="O84" s="133">
        <f>VLOOKUP(B84,'68 - Summary Exhibit'!A:N,13,FALSE)</f>
        <v>149473</v>
      </c>
      <c r="P84" s="133">
        <f t="shared" si="36"/>
        <v>355768</v>
      </c>
      <c r="Q84" s="133">
        <f>VLOOKUP(B84,'68- Deferred Amortization'!A:G,3,FALSE)</f>
        <v>168899.90810971172</v>
      </c>
      <c r="R84" s="133">
        <f>VLOOKUP(B84,'68- Deferred Amortization'!A:G,4,FALSE)</f>
        <v>242894.43459508172</v>
      </c>
      <c r="S84" s="133">
        <f>VLOOKUP(B84,'68- Deferred Amortization'!A:G,5,FALSE)</f>
        <v>-3184.5744</v>
      </c>
      <c r="T84" s="133">
        <f>VLOOKUP(B84,'68- Deferred Amortization'!A:G,6,FALSE)</f>
        <v>-13180.960799999999</v>
      </c>
      <c r="U84" s="133">
        <f>VLOOKUP(B84,'68- Deferred Amortization'!A:G,7,FALSE)</f>
        <v>0</v>
      </c>
      <c r="V84" s="133">
        <f t="shared" si="25"/>
        <v>0</v>
      </c>
      <c r="W84" s="133">
        <f t="shared" si="26"/>
        <v>-1</v>
      </c>
      <c r="X84" s="132">
        <v>3</v>
      </c>
      <c r="Y84" s="132"/>
      <c r="Z84" s="132"/>
      <c r="AA84" s="132"/>
      <c r="AB84" s="132"/>
      <c r="AC84" s="134">
        <v>578518</v>
      </c>
      <c r="AD84" s="134">
        <v>47163</v>
      </c>
      <c r="AE84" s="134">
        <v>161117</v>
      </c>
      <c r="AF84" s="134">
        <v>20317</v>
      </c>
      <c r="AG84" s="133">
        <v>124879</v>
      </c>
      <c r="AH84" s="133">
        <v>4270</v>
      </c>
      <c r="AI84" s="133">
        <v>0</v>
      </c>
      <c r="AJ84" s="133">
        <v>0</v>
      </c>
      <c r="AK84" s="133">
        <v>0</v>
      </c>
      <c r="AL84" s="132"/>
      <c r="AM84" s="133">
        <f t="shared" si="27"/>
        <v>82324</v>
      </c>
      <c r="AN84" s="133">
        <f t="shared" si="28"/>
        <v>0</v>
      </c>
      <c r="AO84" s="134">
        <f t="shared" si="29"/>
        <v>20133</v>
      </c>
      <c r="AP84" s="133">
        <f t="shared" si="30"/>
        <v>-2062</v>
      </c>
      <c r="AQ84" s="4">
        <f t="shared" si="31"/>
        <v>-20317</v>
      </c>
      <c r="AR84" s="4">
        <f t="shared" si="32"/>
        <v>0</v>
      </c>
      <c r="AS84" s="4">
        <f t="shared" si="33"/>
        <v>168243</v>
      </c>
      <c r="AT84" s="4">
        <f t="shared" si="34"/>
        <v>-37980</v>
      </c>
      <c r="AU84" s="4">
        <f t="shared" si="35"/>
        <v>0</v>
      </c>
    </row>
    <row r="85" spans="1:47" x14ac:dyDescent="0.25">
      <c r="A85" s="131" t="s">
        <v>241</v>
      </c>
      <c r="B85" s="132">
        <v>51000.3</v>
      </c>
      <c r="C85" s="133">
        <f>VLOOKUP(B85,'ER Contributions'!A:D,4,FALSE)</f>
        <v>3376790</v>
      </c>
      <c r="D85" s="135">
        <f>VLOOKUP(B85,'ER Contributions'!A:D,3,FALSE)</f>
        <v>1.0651E-3</v>
      </c>
      <c r="E85" s="134">
        <f>VLOOKUP(B85,'68 - Summary Exhibit'!A:N,3,FALSE)</f>
        <v>15781244</v>
      </c>
      <c r="F85" s="134">
        <f>VLOOKUP(B85,'68 - Summary Exhibit'!A:N,4,FALSE)</f>
        <v>1422164</v>
      </c>
      <c r="G85" s="134">
        <f>VLOOKUP(B85,'68 - Summary Exhibit'!A:N,5,FALSE)</f>
        <v>2602252</v>
      </c>
      <c r="H85" s="134">
        <f>VLOOKUP(B85,'68 - Summary Exhibit'!A:N,6,FALSE)</f>
        <v>0</v>
      </c>
      <c r="I85" s="133">
        <f>VLOOKUP(B85,'68 - Summary Exhibit'!A:N,7,FALSE)</f>
        <v>1046723</v>
      </c>
      <c r="J85" s="133">
        <f>VLOOKUP(B85,'68 - Summary Exhibit'!A:N,8,FALSE)</f>
        <v>46651</v>
      </c>
      <c r="K85" s="133">
        <f>VLOOKUP(B85,'68 - Summary Exhibit'!A:N,9,FALSE)</f>
        <v>0</v>
      </c>
      <c r="L85" s="133">
        <f>VLOOKUP(B85,'68 - Summary Exhibit'!A:N,10,FALSE)</f>
        <v>0</v>
      </c>
      <c r="M85" s="133">
        <f>VLOOKUP(B85,'68 - Summary Exhibit'!A:N,11,FALSE)</f>
        <v>0</v>
      </c>
      <c r="N85" s="133">
        <f>VLOOKUP(B85,'68 - Summary Exhibit'!A:N,12,FALSE)</f>
        <v>4359610</v>
      </c>
      <c r="O85" s="133">
        <f>VLOOKUP(B85,'68 - Summary Exhibit'!A:N,13,FALSE)</f>
        <v>632660</v>
      </c>
      <c r="P85" s="133">
        <f t="shared" si="36"/>
        <v>4992270</v>
      </c>
      <c r="Q85" s="133">
        <f>VLOOKUP(B85,'68- Deferred Amortization'!A:G,3,FALSE)</f>
        <v>1817727.4270575969</v>
      </c>
      <c r="R85" s="133">
        <f>VLOOKUP(B85,'68- Deferred Amortization'!A:G,4,FALSE)</f>
        <v>3552612.1398671782</v>
      </c>
      <c r="S85" s="133">
        <f>VLOOKUP(B85,'68- Deferred Amortization'!A:G,5,FALSE)</f>
        <v>-67299.408599999995</v>
      </c>
      <c r="T85" s="133">
        <f>VLOOKUP(B85,'68- Deferred Amortization'!A:G,6,FALSE)</f>
        <v>-278552.40769999998</v>
      </c>
      <c r="U85" s="133">
        <f>VLOOKUP(B85,'68- Deferred Amortization'!A:G,7,FALSE)</f>
        <v>0</v>
      </c>
      <c r="V85" s="133">
        <f t="shared" si="25"/>
        <v>-1</v>
      </c>
      <c r="W85" s="133">
        <f t="shared" si="26"/>
        <v>0</v>
      </c>
      <c r="X85" s="132">
        <v>3</v>
      </c>
      <c r="Y85" s="132"/>
      <c r="Z85" s="132"/>
      <c r="AA85" s="132"/>
      <c r="AB85" s="132"/>
      <c r="AC85" s="134">
        <v>16395228</v>
      </c>
      <c r="AD85" s="134">
        <v>1336599</v>
      </c>
      <c r="AE85" s="134">
        <v>4566070</v>
      </c>
      <c r="AF85" s="134">
        <v>575779</v>
      </c>
      <c r="AG85" s="133">
        <v>896513</v>
      </c>
      <c r="AH85" s="133">
        <v>121008</v>
      </c>
      <c r="AI85" s="133">
        <v>0</v>
      </c>
      <c r="AJ85" s="133">
        <v>0</v>
      </c>
      <c r="AK85" s="133">
        <v>0</v>
      </c>
      <c r="AL85" s="132"/>
      <c r="AM85" s="133">
        <f t="shared" si="27"/>
        <v>150210</v>
      </c>
      <c r="AN85" s="133">
        <f t="shared" si="28"/>
        <v>0</v>
      </c>
      <c r="AO85" s="134">
        <f t="shared" si="29"/>
        <v>85565</v>
      </c>
      <c r="AP85" s="133">
        <f t="shared" si="30"/>
        <v>-74357</v>
      </c>
      <c r="AQ85" s="4">
        <f t="shared" si="31"/>
        <v>-575779</v>
      </c>
      <c r="AR85" s="4">
        <f t="shared" si="32"/>
        <v>0</v>
      </c>
      <c r="AS85" s="4">
        <f t="shared" si="33"/>
        <v>-613984</v>
      </c>
      <c r="AT85" s="4">
        <f t="shared" si="34"/>
        <v>-1963818</v>
      </c>
      <c r="AU85" s="4">
        <f t="shared" si="35"/>
        <v>0</v>
      </c>
    </row>
    <row r="86" spans="1:47" x14ac:dyDescent="0.25">
      <c r="A86" s="136" t="s">
        <v>242</v>
      </c>
      <c r="B86" s="136">
        <v>99000</v>
      </c>
      <c r="C86" s="137">
        <f>SUMIF($X$4:$X$85,1,C$4:C$85)</f>
        <v>510927858.41000003</v>
      </c>
      <c r="D86" s="137"/>
      <c r="E86" s="137">
        <f t="shared" ref="E86:U86" si="37">SUMIF($X$4:$X$85,1,E$4:E$85)</f>
        <v>2350457048</v>
      </c>
      <c r="F86" s="137">
        <f t="shared" si="37"/>
        <v>211816998</v>
      </c>
      <c r="G86" s="137">
        <f t="shared" si="37"/>
        <v>387579231</v>
      </c>
      <c r="H86" s="137">
        <f t="shared" si="37"/>
        <v>0</v>
      </c>
      <c r="I86" s="137">
        <f t="shared" si="37"/>
        <v>72432235</v>
      </c>
      <c r="J86" s="137">
        <f t="shared" si="37"/>
        <v>6948252</v>
      </c>
      <c r="K86" s="137">
        <f t="shared" si="37"/>
        <v>0</v>
      </c>
      <c r="L86" s="137">
        <f t="shared" si="37"/>
        <v>0</v>
      </c>
      <c r="M86" s="137">
        <f t="shared" si="37"/>
        <v>22427968</v>
      </c>
      <c r="N86" s="137">
        <f t="shared" si="37"/>
        <v>649319899</v>
      </c>
      <c r="O86" s="137">
        <f t="shared" si="37"/>
        <v>24740405</v>
      </c>
      <c r="P86" s="137">
        <f t="shared" si="37"/>
        <v>674060304</v>
      </c>
      <c r="Q86" s="137">
        <f t="shared" si="37"/>
        <v>198778817.20437226</v>
      </c>
      <c r="R86" s="137">
        <f t="shared" si="37"/>
        <v>495184567.57855427</v>
      </c>
      <c r="S86" s="137">
        <f t="shared" si="37"/>
        <v>-10023567.977399997</v>
      </c>
      <c r="T86" s="137">
        <f t="shared" si="37"/>
        <v>-41487571.019299991</v>
      </c>
      <c r="U86" s="137">
        <f t="shared" si="37"/>
        <v>0</v>
      </c>
      <c r="V86" s="137">
        <f t="shared" si="25"/>
        <v>7</v>
      </c>
      <c r="W86" s="137">
        <f t="shared" si="26"/>
        <v>-2</v>
      </c>
      <c r="X86" s="136"/>
      <c r="Y86" s="136"/>
      <c r="Z86" s="136"/>
      <c r="AA86" s="136"/>
      <c r="AB86" s="136"/>
      <c r="AC86" s="137">
        <v>2580317807</v>
      </c>
      <c r="AD86" s="137">
        <v>210356940</v>
      </c>
      <c r="AE86" s="137">
        <v>718618315</v>
      </c>
      <c r="AF86" s="137">
        <v>90617351</v>
      </c>
      <c r="AG86" s="137">
        <v>57405101</v>
      </c>
      <c r="AH86" s="137">
        <v>19044565</v>
      </c>
      <c r="AI86" s="137">
        <v>0</v>
      </c>
      <c r="AJ86" s="137">
        <v>0</v>
      </c>
      <c r="AK86" s="137">
        <v>22507700</v>
      </c>
      <c r="AL86" s="137"/>
      <c r="AM86" s="137">
        <f t="shared" ref="AM86:AN86" si="38">SUMIF($X$4:$X$85,1,AM$4:AM$85)</f>
        <v>15027134</v>
      </c>
      <c r="AN86" s="137">
        <f t="shared" si="38"/>
        <v>-79732</v>
      </c>
      <c r="AO86" s="156">
        <f t="shared" si="29"/>
        <v>1460058</v>
      </c>
      <c r="AP86" s="137">
        <f t="shared" si="30"/>
        <v>-12096313</v>
      </c>
      <c r="AQ86" s="4">
        <f t="shared" si="31"/>
        <v>-90617351</v>
      </c>
      <c r="AR86" s="4">
        <f t="shared" si="32"/>
        <v>0</v>
      </c>
      <c r="AS86" s="4">
        <f t="shared" si="33"/>
        <v>-229860759</v>
      </c>
      <c r="AT86" s="4">
        <f t="shared" si="34"/>
        <v>-331039084</v>
      </c>
      <c r="AU86" s="4">
        <f t="shared" si="35"/>
        <v>0</v>
      </c>
    </row>
    <row r="87" spans="1:47" x14ac:dyDescent="0.25">
      <c r="A87" s="138" t="s">
        <v>243</v>
      </c>
      <c r="B87" s="136">
        <v>99100</v>
      </c>
      <c r="C87" s="137">
        <f>SUMIF($X$4:$X$85,2,C$4:C$85)</f>
        <v>187585702.66999993</v>
      </c>
      <c r="D87" s="137"/>
      <c r="E87" s="137">
        <f t="shared" ref="E87:U87" si="39">SUMIF($X$4:$X$85,2,E$4:E$85)</f>
        <v>832098711</v>
      </c>
      <c r="F87" s="137">
        <f t="shared" si="39"/>
        <v>74986545</v>
      </c>
      <c r="G87" s="137">
        <f t="shared" si="39"/>
        <v>137209133</v>
      </c>
      <c r="H87" s="137">
        <f t="shared" si="39"/>
        <v>0</v>
      </c>
      <c r="I87" s="137">
        <f t="shared" si="39"/>
        <v>20849025</v>
      </c>
      <c r="J87" s="137">
        <f t="shared" si="39"/>
        <v>2459792</v>
      </c>
      <c r="K87" s="137">
        <f t="shared" si="39"/>
        <v>0</v>
      </c>
      <c r="L87" s="137">
        <f t="shared" si="39"/>
        <v>0</v>
      </c>
      <c r="M87" s="137">
        <f t="shared" si="39"/>
        <v>10397239</v>
      </c>
      <c r="N87" s="137">
        <f t="shared" si="39"/>
        <v>229869446</v>
      </c>
      <c r="O87" s="137">
        <f t="shared" si="39"/>
        <v>6483096</v>
      </c>
      <c r="P87" s="137">
        <f t="shared" si="39"/>
        <v>236352542</v>
      </c>
      <c r="Q87" s="137">
        <f t="shared" si="39"/>
        <v>67990036.869483501</v>
      </c>
      <c r="R87" s="137">
        <f t="shared" si="39"/>
        <v>170433387.65521222</v>
      </c>
      <c r="S87" s="137">
        <f t="shared" si="39"/>
        <v>-3548500.4856000012</v>
      </c>
      <c r="T87" s="137">
        <f t="shared" si="39"/>
        <v>-14687251.709199999</v>
      </c>
      <c r="U87" s="137">
        <f t="shared" si="39"/>
        <v>0</v>
      </c>
      <c r="V87" s="137">
        <f t="shared" si="25"/>
        <v>12</v>
      </c>
      <c r="W87" s="137">
        <f t="shared" si="26"/>
        <v>0</v>
      </c>
      <c r="X87" s="136"/>
      <c r="Y87" s="136"/>
      <c r="Z87" s="136"/>
      <c r="AA87" s="136"/>
      <c r="AB87" s="136"/>
      <c r="AC87" s="137">
        <v>937035467</v>
      </c>
      <c r="AD87" s="137">
        <v>76390557</v>
      </c>
      <c r="AE87" s="137">
        <v>260964303</v>
      </c>
      <c r="AF87" s="137">
        <v>32907446</v>
      </c>
      <c r="AG87" s="137">
        <v>20284478</v>
      </c>
      <c r="AH87" s="137">
        <v>6915984</v>
      </c>
      <c r="AI87" s="137">
        <v>0</v>
      </c>
      <c r="AJ87" s="137">
        <v>0</v>
      </c>
      <c r="AK87" s="137">
        <v>9739545</v>
      </c>
      <c r="AL87" s="137"/>
      <c r="AM87" s="137">
        <f t="shared" ref="AM87:AN87" si="40">SUMIF($X$4:$X$85,2,AM$4:AM$85)</f>
        <v>564547</v>
      </c>
      <c r="AN87" s="137">
        <f t="shared" si="40"/>
        <v>657694</v>
      </c>
      <c r="AO87" s="156">
        <f t="shared" si="29"/>
        <v>-1404012</v>
      </c>
      <c r="AP87" s="137">
        <f t="shared" si="30"/>
        <v>-4456192</v>
      </c>
      <c r="AQ87" s="4">
        <f t="shared" si="31"/>
        <v>-32907446</v>
      </c>
      <c r="AR87" s="4">
        <f t="shared" si="32"/>
        <v>0</v>
      </c>
      <c r="AS87" s="4">
        <f t="shared" si="33"/>
        <v>-104936756</v>
      </c>
      <c r="AT87" s="4">
        <f t="shared" si="34"/>
        <v>-123755170</v>
      </c>
      <c r="AU87" s="4">
        <f t="shared" si="35"/>
        <v>0</v>
      </c>
    </row>
    <row r="88" spans="1:47" x14ac:dyDescent="0.25">
      <c r="A88" s="138" t="s">
        <v>244</v>
      </c>
      <c r="B88" s="136">
        <v>99200</v>
      </c>
      <c r="C88" s="137">
        <f>SUMIF($X$4:$X$85,3,C$4:C$85)</f>
        <v>7117651.6500000004</v>
      </c>
      <c r="D88" s="137"/>
      <c r="E88" s="137">
        <f t="shared" ref="E88:U88" si="41">SUMIF($X$4:$X$85,3,E$4:E$85)</f>
        <v>30790540</v>
      </c>
      <c r="F88" s="137">
        <f t="shared" si="41"/>
        <v>2774762</v>
      </c>
      <c r="G88" s="137">
        <f t="shared" si="41"/>
        <v>5077214</v>
      </c>
      <c r="H88" s="137">
        <f t="shared" si="41"/>
        <v>0</v>
      </c>
      <c r="I88" s="137">
        <f t="shared" si="41"/>
        <v>2012657</v>
      </c>
      <c r="J88" s="137">
        <f t="shared" si="41"/>
        <v>91021</v>
      </c>
      <c r="K88" s="137">
        <f t="shared" si="41"/>
        <v>0</v>
      </c>
      <c r="L88" s="137">
        <f t="shared" si="41"/>
        <v>0</v>
      </c>
      <c r="M88" s="137">
        <f t="shared" si="41"/>
        <v>152255</v>
      </c>
      <c r="N88" s="137">
        <f t="shared" si="41"/>
        <v>8505967</v>
      </c>
      <c r="O88" s="137">
        <f t="shared" si="41"/>
        <v>1236117</v>
      </c>
      <c r="P88" s="137">
        <f t="shared" si="41"/>
        <v>9742084</v>
      </c>
      <c r="Q88" s="137">
        <f t="shared" si="41"/>
        <v>3414169.3311533965</v>
      </c>
      <c r="R88" s="137">
        <f t="shared" si="41"/>
        <v>6881974.063901742</v>
      </c>
      <c r="S88" s="137">
        <f t="shared" si="41"/>
        <v>-131306.82659999997</v>
      </c>
      <c r="T88" s="137">
        <f t="shared" si="41"/>
        <v>-543479.25869999989</v>
      </c>
      <c r="U88" s="137">
        <f t="shared" si="41"/>
        <v>0</v>
      </c>
      <c r="V88" s="137">
        <f t="shared" si="25"/>
        <v>-4</v>
      </c>
      <c r="W88" s="137">
        <f t="shared" si="26"/>
        <v>0</v>
      </c>
      <c r="X88" s="136"/>
      <c r="Y88" s="136"/>
      <c r="Z88" s="136"/>
      <c r="AA88" s="136"/>
      <c r="AB88" s="136"/>
      <c r="AC88" s="137">
        <v>32922165</v>
      </c>
      <c r="AD88" s="137">
        <v>2683936</v>
      </c>
      <c r="AE88" s="137">
        <v>9168821</v>
      </c>
      <c r="AF88" s="137">
        <v>1156184</v>
      </c>
      <c r="AG88" s="137">
        <v>1695884</v>
      </c>
      <c r="AH88" s="137">
        <v>242989</v>
      </c>
      <c r="AI88" s="137">
        <v>0</v>
      </c>
      <c r="AJ88" s="137">
        <v>0</v>
      </c>
      <c r="AK88" s="137">
        <v>84418</v>
      </c>
      <c r="AL88" s="137"/>
      <c r="AM88" s="137">
        <f t="shared" ref="AM88:AN88" si="42">SUMIF($X$4:$X$85,3,AM$4:AM$85)</f>
        <v>316773</v>
      </c>
      <c r="AN88" s="137">
        <f t="shared" si="42"/>
        <v>67837</v>
      </c>
      <c r="AO88" s="156">
        <f t="shared" si="29"/>
        <v>90826</v>
      </c>
      <c r="AP88" s="137">
        <f t="shared" si="30"/>
        <v>-151968</v>
      </c>
      <c r="AQ88" s="4">
        <f t="shared" si="31"/>
        <v>-1156184</v>
      </c>
      <c r="AR88" s="4">
        <f t="shared" si="32"/>
        <v>0</v>
      </c>
      <c r="AS88" s="4">
        <f t="shared" si="33"/>
        <v>-2131625</v>
      </c>
      <c r="AT88" s="4">
        <f t="shared" si="34"/>
        <v>-4091607</v>
      </c>
      <c r="AU88" s="4">
        <f t="shared" si="35"/>
        <v>0</v>
      </c>
    </row>
    <row r="89" spans="1:47" x14ac:dyDescent="0.25">
      <c r="D89" s="5"/>
    </row>
    <row r="92" spans="1:47" x14ac:dyDescent="0.25">
      <c r="A92" s="2"/>
    </row>
  </sheetData>
  <sortState xmlns:xlrd2="http://schemas.microsoft.com/office/spreadsheetml/2017/richdata2" ref="A81:AN85">
    <sortCondition ref="B81:B85"/>
  </sortState>
  <mergeCells count="6">
    <mergeCell ref="AH2:AK2"/>
    <mergeCell ref="J2:M2"/>
    <mergeCell ref="N2:P2"/>
    <mergeCell ref="F2:I2"/>
    <mergeCell ref="Q2:U2"/>
    <mergeCell ref="AD2:AG2"/>
  </mergeCells>
  <pageMargins left="0.7" right="0.7" top="0.75" bottom="0.75" header="0.3" footer="0.3"/>
  <pageSetup scale="66"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312"/>
  <sheetViews>
    <sheetView workbookViewId="0">
      <selection activeCell="G3" sqref="G3:K291"/>
    </sheetView>
  </sheetViews>
  <sheetFormatPr defaultRowHeight="13.2" x14ac:dyDescent="0.25"/>
  <cols>
    <col min="1" max="1" width="15" customWidth="1"/>
    <col min="2" max="2" width="56" bestFit="1" customWidth="1"/>
    <col min="3" max="3" width="16.6640625" customWidth="1"/>
    <col min="4" max="4" width="18.44140625" style="6" bestFit="1" customWidth="1"/>
    <col min="5" max="5" width="17" customWidth="1"/>
    <col min="7" max="7" width="15.109375" style="6" bestFit="1" customWidth="1"/>
    <col min="9" max="9" width="12.109375" style="4" bestFit="1" customWidth="1"/>
  </cols>
  <sheetData>
    <row r="1" spans="1:5" x14ac:dyDescent="0.25">
      <c r="A1" s="200">
        <v>1</v>
      </c>
      <c r="B1" s="200">
        <v>2</v>
      </c>
      <c r="C1" s="200">
        <v>3</v>
      </c>
      <c r="D1" s="243">
        <v>4</v>
      </c>
    </row>
    <row r="2" spans="1:5" ht="38.25" customHeight="1" x14ac:dyDescent="0.25">
      <c r="A2" s="127" t="s">
        <v>245</v>
      </c>
      <c r="B2" s="199" t="s">
        <v>246</v>
      </c>
      <c r="C2" s="45" t="s">
        <v>247</v>
      </c>
      <c r="D2" s="244" t="s">
        <v>248</v>
      </c>
    </row>
    <row r="3" spans="1:5" x14ac:dyDescent="0.25">
      <c r="A3">
        <v>10200</v>
      </c>
      <c r="B3" t="s">
        <v>249</v>
      </c>
      <c r="C3" s="215">
        <v>1.3412000000000001E-3</v>
      </c>
      <c r="D3" s="6">
        <v>4432979.26</v>
      </c>
      <c r="E3" s="213"/>
    </row>
    <row r="4" spans="1:5" x14ac:dyDescent="0.25">
      <c r="A4">
        <v>10400</v>
      </c>
      <c r="B4" t="s">
        <v>250</v>
      </c>
      <c r="C4" s="215">
        <v>3.392E-3</v>
      </c>
      <c r="D4" s="6">
        <v>10558452.119999999</v>
      </c>
      <c r="E4" s="213"/>
    </row>
    <row r="5" spans="1:5" x14ac:dyDescent="0.25">
      <c r="A5">
        <v>10500</v>
      </c>
      <c r="B5" t="s">
        <v>251</v>
      </c>
      <c r="C5" s="215">
        <v>7.6889999999999999E-4</v>
      </c>
      <c r="D5" s="6">
        <v>2283856.31</v>
      </c>
      <c r="E5" s="213"/>
    </row>
    <row r="6" spans="1:5" x14ac:dyDescent="0.25">
      <c r="A6">
        <v>10700</v>
      </c>
      <c r="B6" t="s">
        <v>252</v>
      </c>
      <c r="C6" s="215">
        <v>5.2846999999999998E-3</v>
      </c>
      <c r="D6" s="6">
        <v>17489968.57</v>
      </c>
      <c r="E6" s="213"/>
    </row>
    <row r="7" spans="1:5" x14ac:dyDescent="0.25">
      <c r="A7">
        <v>10800</v>
      </c>
      <c r="B7" t="s">
        <v>253</v>
      </c>
      <c r="C7" s="215">
        <v>2.27453E-2</v>
      </c>
      <c r="D7" s="6">
        <v>78493347.609999985</v>
      </c>
      <c r="E7" s="213"/>
    </row>
    <row r="8" spans="1:5" x14ac:dyDescent="0.25">
      <c r="A8">
        <v>10850</v>
      </c>
      <c r="B8" t="s">
        <v>254</v>
      </c>
      <c r="C8" s="215">
        <v>2.0149999999999999E-4</v>
      </c>
      <c r="D8" s="6">
        <v>776608.43</v>
      </c>
      <c r="E8" s="213"/>
    </row>
    <row r="9" spans="1:5" x14ac:dyDescent="0.25">
      <c r="A9">
        <v>10900</v>
      </c>
      <c r="B9" t="s">
        <v>255</v>
      </c>
      <c r="C9" s="215">
        <v>1.8940000000000001E-3</v>
      </c>
      <c r="D9" s="6">
        <v>7008481.9399999995</v>
      </c>
      <c r="E9" s="213"/>
    </row>
    <row r="10" spans="1:5" x14ac:dyDescent="0.25">
      <c r="A10">
        <v>10910</v>
      </c>
      <c r="B10" t="s">
        <v>256</v>
      </c>
      <c r="C10" s="215">
        <v>6.3980000000000005E-4</v>
      </c>
      <c r="D10" s="6">
        <v>2017195.24</v>
      </c>
      <c r="E10" s="213"/>
    </row>
    <row r="11" spans="1:5" x14ac:dyDescent="0.25">
      <c r="A11">
        <v>10930</v>
      </c>
      <c r="B11" t="s">
        <v>257</v>
      </c>
      <c r="C11" s="215">
        <v>5.9741999999999998E-3</v>
      </c>
      <c r="D11" s="6">
        <v>22318934.989999998</v>
      </c>
      <c r="E11" s="213"/>
    </row>
    <row r="12" spans="1:5" x14ac:dyDescent="0.25">
      <c r="A12">
        <v>10940</v>
      </c>
      <c r="B12" t="s">
        <v>258</v>
      </c>
      <c r="C12" s="215">
        <v>8.3850000000000005E-4</v>
      </c>
      <c r="D12" s="6">
        <v>3079327.8499999996</v>
      </c>
      <c r="E12" s="213"/>
    </row>
    <row r="13" spans="1:5" x14ac:dyDescent="0.25">
      <c r="A13">
        <v>10950</v>
      </c>
      <c r="B13" t="s">
        <v>165</v>
      </c>
      <c r="C13" s="215">
        <v>1.0514999999999999E-3</v>
      </c>
      <c r="D13" s="6">
        <v>3390681.64</v>
      </c>
      <c r="E13" s="213"/>
    </row>
    <row r="14" spans="1:5" x14ac:dyDescent="0.25">
      <c r="A14">
        <v>11000</v>
      </c>
      <c r="B14" t="s">
        <v>571</v>
      </c>
      <c r="C14" s="215"/>
      <c r="D14" s="6">
        <v>1320467.6100000001</v>
      </c>
      <c r="E14" s="213"/>
    </row>
    <row r="15" spans="1:5" x14ac:dyDescent="0.25">
      <c r="A15">
        <v>11050</v>
      </c>
      <c r="B15" t="s">
        <v>259</v>
      </c>
      <c r="C15" s="215">
        <v>2.9700000000000001E-4</v>
      </c>
      <c r="D15" s="6">
        <v>1015811.55</v>
      </c>
      <c r="E15" s="213"/>
    </row>
    <row r="16" spans="1:5" x14ac:dyDescent="0.25">
      <c r="A16">
        <v>11300</v>
      </c>
      <c r="B16" t="s">
        <v>260</v>
      </c>
      <c r="C16" s="215">
        <v>5.3334999999999997E-3</v>
      </c>
      <c r="D16" s="6">
        <v>19360928.050000008</v>
      </c>
      <c r="E16" s="213" t="s">
        <v>536</v>
      </c>
    </row>
    <row r="17" spans="1:6" x14ac:dyDescent="0.25">
      <c r="A17">
        <v>11310</v>
      </c>
      <c r="B17" s="136" t="s">
        <v>236</v>
      </c>
      <c r="C17" s="239">
        <v>5.9579999999999995E-4</v>
      </c>
      <c r="D17" s="156">
        <v>2083968.6500000001</v>
      </c>
      <c r="E17" s="213"/>
    </row>
    <row r="18" spans="1:6" x14ac:dyDescent="0.25">
      <c r="A18">
        <v>11600</v>
      </c>
      <c r="B18" t="s">
        <v>261</v>
      </c>
      <c r="C18" s="215">
        <v>2.4447000000000002E-3</v>
      </c>
      <c r="D18" s="6">
        <v>7318431.6299999999</v>
      </c>
      <c r="E18" s="213"/>
    </row>
    <row r="19" spans="1:6" x14ac:dyDescent="0.25">
      <c r="A19">
        <v>11900</v>
      </c>
      <c r="B19" t="s">
        <v>262</v>
      </c>
      <c r="C19" s="215">
        <v>3.2180000000000002E-4</v>
      </c>
      <c r="D19" s="6">
        <v>980198.37</v>
      </c>
      <c r="E19" s="213"/>
    </row>
    <row r="20" spans="1:6" x14ac:dyDescent="0.25">
      <c r="A20">
        <v>12100</v>
      </c>
      <c r="B20" t="s">
        <v>263</v>
      </c>
      <c r="C20" s="215">
        <v>3.322E-4</v>
      </c>
      <c r="D20" s="6">
        <v>1116166.7599999998</v>
      </c>
      <c r="E20" s="213"/>
    </row>
    <row r="21" spans="1:6" x14ac:dyDescent="0.25">
      <c r="A21">
        <v>12150</v>
      </c>
      <c r="B21" t="s">
        <v>264</v>
      </c>
      <c r="C21" s="215">
        <v>5.2800000000000003E-5</v>
      </c>
      <c r="D21" s="6">
        <v>152449.81</v>
      </c>
      <c r="E21" s="213"/>
    </row>
    <row r="22" spans="1:6" x14ac:dyDescent="0.25">
      <c r="A22">
        <v>12160</v>
      </c>
      <c r="B22" t="s">
        <v>265</v>
      </c>
      <c r="C22" s="215">
        <v>2.0268999999999999E-3</v>
      </c>
      <c r="D22" s="6">
        <v>7149128.7000000002</v>
      </c>
      <c r="E22" s="213"/>
    </row>
    <row r="23" spans="1:6" x14ac:dyDescent="0.25">
      <c r="A23">
        <v>12220</v>
      </c>
      <c r="B23" t="s">
        <v>266</v>
      </c>
      <c r="C23" s="215">
        <v>4.5400500000000003E-2</v>
      </c>
      <c r="D23" s="6">
        <v>155776505.94999996</v>
      </c>
      <c r="E23" s="213"/>
    </row>
    <row r="24" spans="1:6" x14ac:dyDescent="0.25">
      <c r="A24">
        <v>12510</v>
      </c>
      <c r="B24" t="s">
        <v>267</v>
      </c>
      <c r="C24" s="215">
        <v>4.2845000000000001E-3</v>
      </c>
      <c r="D24" s="6">
        <v>16241870.75</v>
      </c>
      <c r="E24" s="213"/>
    </row>
    <row r="25" spans="1:6" x14ac:dyDescent="0.25">
      <c r="A25">
        <v>12600</v>
      </c>
      <c r="B25" t="s">
        <v>268</v>
      </c>
      <c r="C25" s="215">
        <v>2.0157E-3</v>
      </c>
      <c r="D25" s="6">
        <v>7438383.2399999984</v>
      </c>
      <c r="E25" s="213"/>
    </row>
    <row r="26" spans="1:6" x14ac:dyDescent="0.25">
      <c r="A26">
        <v>12700</v>
      </c>
      <c r="B26" t="s">
        <v>269</v>
      </c>
      <c r="C26" s="215">
        <v>1.0838E-3</v>
      </c>
      <c r="D26" s="6">
        <v>4352332.13</v>
      </c>
      <c r="E26" s="213"/>
    </row>
    <row r="27" spans="1:6" x14ac:dyDescent="0.25">
      <c r="A27">
        <v>13500</v>
      </c>
      <c r="B27" t="s">
        <v>270</v>
      </c>
      <c r="C27" s="215">
        <v>4.3825000000000001E-3</v>
      </c>
      <c r="D27" s="6">
        <v>15227677.809999997</v>
      </c>
      <c r="E27" s="238"/>
    </row>
    <row r="28" spans="1:6" x14ac:dyDescent="0.25">
      <c r="A28">
        <v>13700</v>
      </c>
      <c r="B28" t="s">
        <v>271</v>
      </c>
      <c r="C28" s="215">
        <v>5.2340000000000004E-4</v>
      </c>
      <c r="D28" s="6">
        <v>1909995.72</v>
      </c>
      <c r="E28" s="238"/>
      <c r="F28" s="2"/>
    </row>
    <row r="29" spans="1:6" x14ac:dyDescent="0.25">
      <c r="A29">
        <v>14300</v>
      </c>
      <c r="B29" t="s">
        <v>272</v>
      </c>
      <c r="C29" s="215">
        <v>1.6676E-3</v>
      </c>
      <c r="D29" s="6">
        <v>5409885</v>
      </c>
      <c r="E29" s="238">
        <v>5409885</v>
      </c>
      <c r="F29" s="2" t="s">
        <v>537</v>
      </c>
    </row>
    <row r="30" spans="1:6" x14ac:dyDescent="0.25">
      <c r="A30" s="136">
        <v>14300.2</v>
      </c>
      <c r="B30" s="136" t="s">
        <v>273</v>
      </c>
      <c r="C30" s="215">
        <v>1.75E-4</v>
      </c>
      <c r="D30" s="156">
        <v>688410</v>
      </c>
      <c r="E30" s="238">
        <v>688410</v>
      </c>
      <c r="F30" s="2" t="s">
        <v>538</v>
      </c>
    </row>
    <row r="31" spans="1:6" x14ac:dyDescent="0.25">
      <c r="A31">
        <v>18400</v>
      </c>
      <c r="B31" t="s">
        <v>274</v>
      </c>
      <c r="C31" s="215">
        <v>5.2303999999999996E-3</v>
      </c>
      <c r="D31" s="6">
        <v>18099880.5</v>
      </c>
      <c r="E31" s="213">
        <f>SUM(E29:E30)</f>
        <v>6098295</v>
      </c>
      <c r="F31" s="2" t="s">
        <v>539</v>
      </c>
    </row>
    <row r="32" spans="1:6" x14ac:dyDescent="0.25">
      <c r="A32">
        <v>18600</v>
      </c>
      <c r="B32" t="s">
        <v>275</v>
      </c>
      <c r="C32" s="215">
        <v>1.4800000000000001E-5</v>
      </c>
      <c r="D32" s="6">
        <v>60364.12999999999</v>
      </c>
      <c r="E32" s="213"/>
    </row>
    <row r="33" spans="1:5" x14ac:dyDescent="0.25">
      <c r="A33">
        <v>18640</v>
      </c>
      <c r="B33" t="s">
        <v>276</v>
      </c>
      <c r="C33" s="215">
        <v>2.0999999999999998E-6</v>
      </c>
      <c r="D33" s="6">
        <v>8170.0600000000031</v>
      </c>
      <c r="E33" s="213"/>
    </row>
    <row r="34" spans="1:5" x14ac:dyDescent="0.25">
      <c r="A34">
        <v>18740</v>
      </c>
      <c r="B34" t="s">
        <v>277</v>
      </c>
      <c r="C34" s="215">
        <v>5.4E-6</v>
      </c>
      <c r="D34" s="6">
        <v>30173.249999999985</v>
      </c>
      <c r="E34" s="213"/>
    </row>
    <row r="35" spans="1:5" x14ac:dyDescent="0.25">
      <c r="A35">
        <v>18780</v>
      </c>
      <c r="B35" t="s">
        <v>278</v>
      </c>
      <c r="C35" s="215">
        <v>2.37E-5</v>
      </c>
      <c r="D35" s="6">
        <v>66815.779999999984</v>
      </c>
      <c r="E35" s="213"/>
    </row>
    <row r="36" spans="1:5" x14ac:dyDescent="0.25">
      <c r="A36">
        <v>19005</v>
      </c>
      <c r="B36" t="s">
        <v>279</v>
      </c>
      <c r="C36" s="215">
        <v>1.0235999999999999E-3</v>
      </c>
      <c r="D36" s="6">
        <v>3595087.04</v>
      </c>
      <c r="E36" s="213"/>
    </row>
    <row r="37" spans="1:5" x14ac:dyDescent="0.25">
      <c r="A37">
        <v>19100</v>
      </c>
      <c r="B37" t="s">
        <v>280</v>
      </c>
      <c r="C37" s="215">
        <v>2.03652E-2</v>
      </c>
      <c r="D37" s="6">
        <v>62892075.800000012</v>
      </c>
      <c r="E37" s="213"/>
    </row>
    <row r="38" spans="1:5" x14ac:dyDescent="0.25">
      <c r="A38">
        <v>19120</v>
      </c>
      <c r="B38" t="s">
        <v>535</v>
      </c>
      <c r="C38" s="215">
        <v>5.0228799999999997E-2</v>
      </c>
      <c r="D38" s="6">
        <v>162722046.34999999</v>
      </c>
      <c r="E38" s="213"/>
    </row>
    <row r="39" spans="1:5" x14ac:dyDescent="0.25">
      <c r="A39">
        <v>20100</v>
      </c>
      <c r="B39" t="s">
        <v>161</v>
      </c>
      <c r="C39" s="215">
        <v>8.0657999999999997E-3</v>
      </c>
      <c r="D39" s="6">
        <v>25012793.400000002</v>
      </c>
      <c r="E39" s="213"/>
    </row>
    <row r="40" spans="1:5" x14ac:dyDescent="0.25">
      <c r="A40">
        <v>20200</v>
      </c>
      <c r="B40" t="s">
        <v>166</v>
      </c>
      <c r="C40" s="215">
        <v>1.0313E-3</v>
      </c>
      <c r="D40" s="6">
        <v>3371336.4099999997</v>
      </c>
      <c r="E40" s="213"/>
    </row>
    <row r="41" spans="1:5" x14ac:dyDescent="0.25">
      <c r="A41">
        <v>20300</v>
      </c>
      <c r="B41" t="s">
        <v>162</v>
      </c>
      <c r="C41" s="215">
        <v>1.3647599999999999E-2</v>
      </c>
      <c r="D41" s="6">
        <v>42978281.039999999</v>
      </c>
      <c r="E41" s="213"/>
    </row>
    <row r="42" spans="1:5" x14ac:dyDescent="0.25">
      <c r="A42">
        <v>20400</v>
      </c>
      <c r="B42" t="s">
        <v>163</v>
      </c>
      <c r="C42" s="215">
        <v>1.1655000000000001E-3</v>
      </c>
      <c r="D42" s="6">
        <v>3819092.1100000003</v>
      </c>
      <c r="E42" s="213"/>
    </row>
    <row r="43" spans="1:5" x14ac:dyDescent="0.25">
      <c r="A43">
        <v>20600</v>
      </c>
      <c r="B43" t="s">
        <v>3</v>
      </c>
      <c r="C43" s="215">
        <v>2.4325000000000002E-3</v>
      </c>
      <c r="D43" s="6">
        <v>7927046.6900000004</v>
      </c>
      <c r="E43" s="213"/>
    </row>
    <row r="44" spans="1:5" x14ac:dyDescent="0.25">
      <c r="A44">
        <v>20700</v>
      </c>
      <c r="B44" t="s">
        <v>168</v>
      </c>
      <c r="C44" s="215">
        <v>4.3115999999999996E-3</v>
      </c>
      <c r="D44" s="6">
        <v>15132595.199999997</v>
      </c>
      <c r="E44" s="213"/>
    </row>
    <row r="45" spans="1:5" x14ac:dyDescent="0.25">
      <c r="A45">
        <v>20800</v>
      </c>
      <c r="B45" t="s">
        <v>164</v>
      </c>
      <c r="C45" s="215">
        <v>3.2079000000000001E-3</v>
      </c>
      <c r="D45" s="6">
        <v>11191848.449999997</v>
      </c>
      <c r="E45" s="213"/>
    </row>
    <row r="46" spans="1:5" x14ac:dyDescent="0.25">
      <c r="A46">
        <v>20900</v>
      </c>
      <c r="B46" t="s">
        <v>540</v>
      </c>
      <c r="C46" s="215">
        <v>4.9015999999999999E-3</v>
      </c>
      <c r="D46" s="6">
        <v>16531795.139999997</v>
      </c>
      <c r="E46" s="213"/>
    </row>
    <row r="47" spans="1:5" x14ac:dyDescent="0.25">
      <c r="A47">
        <v>21200</v>
      </c>
      <c r="B47" t="s">
        <v>169</v>
      </c>
      <c r="C47" s="215">
        <v>2.0279E-3</v>
      </c>
      <c r="D47" s="6">
        <v>6728681.2999999989</v>
      </c>
      <c r="E47" s="213"/>
    </row>
    <row r="48" spans="1:5" x14ac:dyDescent="0.25">
      <c r="A48">
        <v>21300</v>
      </c>
      <c r="B48" t="s">
        <v>167</v>
      </c>
      <c r="C48" s="215">
        <v>2.30292E-2</v>
      </c>
      <c r="D48" s="6">
        <v>74267627.909999996</v>
      </c>
      <c r="E48" s="213"/>
    </row>
    <row r="49" spans="1:7" ht="13.8" thickBot="1" x14ac:dyDescent="0.3">
      <c r="A49">
        <v>21520</v>
      </c>
      <c r="B49" t="s">
        <v>281</v>
      </c>
      <c r="C49" s="215">
        <v>3.4665899999999999E-2</v>
      </c>
      <c r="D49" s="6">
        <v>111408063.44999999</v>
      </c>
      <c r="E49" s="213"/>
    </row>
    <row r="50" spans="1:7" x14ac:dyDescent="0.25">
      <c r="A50">
        <v>21525</v>
      </c>
      <c r="B50" t="s">
        <v>282</v>
      </c>
      <c r="C50" s="215">
        <v>1.3163000000000001E-3</v>
      </c>
      <c r="D50" s="6">
        <v>4558892</v>
      </c>
      <c r="E50" s="216">
        <v>4558892</v>
      </c>
      <c r="F50" s="217" t="s">
        <v>541</v>
      </c>
    </row>
    <row r="51" spans="1:7" x14ac:dyDescent="0.25">
      <c r="A51" s="136">
        <v>21525.200000000001</v>
      </c>
      <c r="B51" s="136" t="s">
        <v>283</v>
      </c>
      <c r="C51" s="215">
        <v>1.918E-4</v>
      </c>
      <c r="D51" s="156">
        <v>734736</v>
      </c>
      <c r="E51" s="218">
        <v>734736</v>
      </c>
      <c r="F51" s="219" t="s">
        <v>542</v>
      </c>
    </row>
    <row r="52" spans="1:7" ht="13.8" thickBot="1" x14ac:dyDescent="0.3">
      <c r="A52">
        <v>21550</v>
      </c>
      <c r="B52" t="s">
        <v>170</v>
      </c>
      <c r="C52" s="215">
        <v>3.8541699999999998E-2</v>
      </c>
      <c r="D52" s="6">
        <v>121078373.22000007</v>
      </c>
      <c r="E52" s="220">
        <f>SUM(E50:E51)</f>
        <v>5293628</v>
      </c>
      <c r="F52" s="242" t="s">
        <v>579</v>
      </c>
      <c r="G52" s="4"/>
    </row>
    <row r="53" spans="1:7" x14ac:dyDescent="0.25">
      <c r="A53">
        <v>21570</v>
      </c>
      <c r="B53" t="s">
        <v>284</v>
      </c>
      <c r="C53" s="215">
        <v>1.941E-4</v>
      </c>
      <c r="D53" s="6">
        <v>642098.35000000009</v>
      </c>
      <c r="E53" s="213"/>
      <c r="G53" s="4"/>
    </row>
    <row r="54" spans="1:7" x14ac:dyDescent="0.25">
      <c r="A54">
        <v>21800</v>
      </c>
      <c r="B54" t="s">
        <v>176</v>
      </c>
      <c r="C54" s="215">
        <v>3.6857999999999999E-3</v>
      </c>
      <c r="D54" s="6">
        <v>11790336.390000001</v>
      </c>
      <c r="E54" s="213"/>
      <c r="G54" s="4"/>
    </row>
    <row r="55" spans="1:7" x14ac:dyDescent="0.25">
      <c r="A55">
        <v>21900</v>
      </c>
      <c r="B55" t="s">
        <v>177</v>
      </c>
      <c r="C55" s="215">
        <v>1.6936E-3</v>
      </c>
      <c r="D55" s="6">
        <v>6379772.4200000018</v>
      </c>
      <c r="E55" s="213"/>
      <c r="G55" s="4"/>
    </row>
    <row r="56" spans="1:7" x14ac:dyDescent="0.25">
      <c r="A56">
        <v>22000</v>
      </c>
      <c r="B56" t="s">
        <v>285</v>
      </c>
      <c r="C56" s="215">
        <v>3.8617E-3</v>
      </c>
      <c r="D56" s="6">
        <v>14597657.42</v>
      </c>
      <c r="E56" s="213"/>
      <c r="G56" s="4"/>
    </row>
    <row r="57" spans="1:7" x14ac:dyDescent="0.25">
      <c r="A57">
        <v>23000</v>
      </c>
      <c r="B57" t="s">
        <v>172</v>
      </c>
      <c r="C57" s="215">
        <v>1.2355999999999999E-3</v>
      </c>
      <c r="D57" s="6">
        <v>3936088.5899999994</v>
      </c>
      <c r="E57" s="213"/>
      <c r="G57" s="4"/>
    </row>
    <row r="58" spans="1:7" x14ac:dyDescent="0.25">
      <c r="A58">
        <v>23100</v>
      </c>
      <c r="B58" t="s">
        <v>173</v>
      </c>
      <c r="C58" s="215">
        <v>7.7719E-3</v>
      </c>
      <c r="D58" s="6">
        <v>25738774.080000002</v>
      </c>
      <c r="E58" s="213"/>
      <c r="G58" s="4"/>
    </row>
    <row r="59" spans="1:7" x14ac:dyDescent="0.25">
      <c r="A59">
        <v>23200</v>
      </c>
      <c r="B59" t="s">
        <v>175</v>
      </c>
      <c r="C59" s="215">
        <v>4.8526999999999997E-3</v>
      </c>
      <c r="D59" s="6">
        <v>15685778.969999999</v>
      </c>
      <c r="E59" s="213"/>
      <c r="G59" s="4"/>
    </row>
    <row r="60" spans="1:7" x14ac:dyDescent="0.25">
      <c r="A60">
        <v>30000</v>
      </c>
      <c r="B60" t="s">
        <v>286</v>
      </c>
      <c r="C60" s="215">
        <v>8.3429999999999995E-4</v>
      </c>
      <c r="D60" s="6">
        <v>2734386.15</v>
      </c>
      <c r="E60" s="213"/>
      <c r="G60" s="4"/>
    </row>
    <row r="61" spans="1:7" x14ac:dyDescent="0.25">
      <c r="A61">
        <v>30100</v>
      </c>
      <c r="B61" t="s">
        <v>287</v>
      </c>
      <c r="C61" s="215">
        <v>8.0911999999999998E-3</v>
      </c>
      <c r="D61" s="6">
        <v>24844959.199999999</v>
      </c>
      <c r="E61" s="213"/>
      <c r="G61" s="4"/>
    </row>
    <row r="62" spans="1:7" x14ac:dyDescent="0.25">
      <c r="A62">
        <v>30102</v>
      </c>
      <c r="B62" t="s">
        <v>288</v>
      </c>
      <c r="C62" s="215">
        <v>2.588E-4</v>
      </c>
      <c r="D62" s="6">
        <v>700354.3899999999</v>
      </c>
      <c r="E62" s="213"/>
      <c r="G62" s="4"/>
    </row>
    <row r="63" spans="1:7" x14ac:dyDescent="0.25">
      <c r="A63">
        <v>30103</v>
      </c>
      <c r="B63" t="s">
        <v>289</v>
      </c>
      <c r="C63" s="215">
        <v>2.3330000000000001E-4</v>
      </c>
      <c r="D63" s="6">
        <v>681905.27</v>
      </c>
      <c r="E63" s="213"/>
      <c r="G63" s="4"/>
    </row>
    <row r="64" spans="1:7" x14ac:dyDescent="0.25">
      <c r="A64">
        <v>30104</v>
      </c>
      <c r="B64" t="s">
        <v>290</v>
      </c>
      <c r="C64" s="215">
        <v>1.919E-4</v>
      </c>
      <c r="D64" s="6">
        <v>501843.8</v>
      </c>
      <c r="E64" s="213"/>
      <c r="G64" s="4"/>
    </row>
    <row r="65" spans="1:7" x14ac:dyDescent="0.25">
      <c r="A65">
        <v>30105</v>
      </c>
      <c r="B65" t="s">
        <v>178</v>
      </c>
      <c r="C65" s="215">
        <v>8.2669999999999998E-4</v>
      </c>
      <c r="D65" s="6">
        <v>2953357.3600000017</v>
      </c>
      <c r="E65" s="213"/>
      <c r="G65" s="4"/>
    </row>
    <row r="66" spans="1:7" x14ac:dyDescent="0.25">
      <c r="A66">
        <v>30200</v>
      </c>
      <c r="B66" t="s">
        <v>291</v>
      </c>
      <c r="C66" s="215">
        <v>1.8684999999999999E-3</v>
      </c>
      <c r="D66" s="6">
        <v>6003953.8600000003</v>
      </c>
      <c r="E66" s="213"/>
      <c r="G66" s="4"/>
    </row>
    <row r="67" spans="1:7" x14ac:dyDescent="0.25">
      <c r="A67">
        <v>30300</v>
      </c>
      <c r="B67" t="s">
        <v>292</v>
      </c>
      <c r="C67" s="215">
        <v>6.223E-4</v>
      </c>
      <c r="D67" s="6">
        <v>2021639.93</v>
      </c>
      <c r="E67" s="213"/>
      <c r="G67" s="4"/>
    </row>
    <row r="68" spans="1:7" x14ac:dyDescent="0.25">
      <c r="A68">
        <v>30400</v>
      </c>
      <c r="B68" t="s">
        <v>293</v>
      </c>
      <c r="C68" s="215">
        <v>1.2895999999999999E-3</v>
      </c>
      <c r="D68" s="6">
        <v>4063479.2499999991</v>
      </c>
      <c r="E68" s="213"/>
      <c r="G68" s="4"/>
    </row>
    <row r="69" spans="1:7" x14ac:dyDescent="0.25">
      <c r="A69">
        <v>30405</v>
      </c>
      <c r="B69" t="s">
        <v>224</v>
      </c>
      <c r="C69" s="215">
        <v>7.5929999999999997E-4</v>
      </c>
      <c r="D69" s="6">
        <v>2441060.4899999998</v>
      </c>
      <c r="E69" s="213"/>
      <c r="G69" s="4"/>
    </row>
    <row r="70" spans="1:7" x14ac:dyDescent="0.25">
      <c r="A70">
        <v>30500</v>
      </c>
      <c r="B70" t="s">
        <v>294</v>
      </c>
      <c r="C70" s="215">
        <v>1.1931000000000001E-3</v>
      </c>
      <c r="D70" s="6">
        <v>3847808.3500000006</v>
      </c>
      <c r="E70" s="213"/>
      <c r="G70" s="4"/>
    </row>
    <row r="71" spans="1:7" x14ac:dyDescent="0.25">
      <c r="A71">
        <v>30600</v>
      </c>
      <c r="B71" t="s">
        <v>295</v>
      </c>
      <c r="C71" s="215">
        <v>9.3110000000000003E-4</v>
      </c>
      <c r="D71" s="6">
        <v>2901996.42</v>
      </c>
      <c r="E71" s="213"/>
      <c r="G71" s="4"/>
    </row>
    <row r="72" spans="1:7" x14ac:dyDescent="0.25">
      <c r="A72">
        <v>30700</v>
      </c>
      <c r="B72" t="s">
        <v>296</v>
      </c>
      <c r="C72" s="215">
        <v>2.2912000000000002E-3</v>
      </c>
      <c r="D72" s="6">
        <v>7162730.7000000011</v>
      </c>
      <c r="E72" s="213"/>
      <c r="G72" s="4"/>
    </row>
    <row r="73" spans="1:7" x14ac:dyDescent="0.25">
      <c r="A73">
        <v>30705</v>
      </c>
      <c r="B73" t="s">
        <v>180</v>
      </c>
      <c r="C73" s="215">
        <v>5.3499999999999999E-4</v>
      </c>
      <c r="D73" s="6">
        <v>1772697.41</v>
      </c>
      <c r="E73" s="213"/>
      <c r="G73" s="4"/>
    </row>
    <row r="74" spans="1:7" x14ac:dyDescent="0.25">
      <c r="A74">
        <v>30800</v>
      </c>
      <c r="B74" t="s">
        <v>297</v>
      </c>
      <c r="C74" s="215">
        <v>7.2210000000000004E-4</v>
      </c>
      <c r="D74" s="6">
        <v>2398668.9099999997</v>
      </c>
      <c r="E74" s="213"/>
      <c r="G74" s="4"/>
    </row>
    <row r="75" spans="1:7" x14ac:dyDescent="0.25">
      <c r="A75">
        <v>30900</v>
      </c>
      <c r="B75" t="s">
        <v>298</v>
      </c>
      <c r="C75" s="215">
        <v>1.6485E-3</v>
      </c>
      <c r="D75" s="6">
        <v>5847572.71</v>
      </c>
      <c r="E75" s="213"/>
      <c r="G75" s="4"/>
    </row>
    <row r="76" spans="1:7" x14ac:dyDescent="0.25">
      <c r="A76">
        <v>30905</v>
      </c>
      <c r="B76" t="s">
        <v>181</v>
      </c>
      <c r="C76" s="215">
        <v>3.1629999999999999E-4</v>
      </c>
      <c r="D76" s="6">
        <v>1180593.02</v>
      </c>
      <c r="E76" s="213"/>
      <c r="G76" s="4"/>
    </row>
    <row r="77" spans="1:7" x14ac:dyDescent="0.25">
      <c r="A77">
        <v>31000</v>
      </c>
      <c r="B77" t="s">
        <v>299</v>
      </c>
      <c r="C77" s="215">
        <v>5.0829999999999998E-3</v>
      </c>
      <c r="D77" s="6">
        <v>16287131.100000001</v>
      </c>
      <c r="E77" s="213"/>
      <c r="G77" s="4"/>
    </row>
    <row r="78" spans="1:7" x14ac:dyDescent="0.25">
      <c r="A78">
        <v>31005</v>
      </c>
      <c r="B78" t="s">
        <v>183</v>
      </c>
      <c r="C78" s="215">
        <v>5.0339999999999998E-4</v>
      </c>
      <c r="D78" s="6">
        <v>1733801.98</v>
      </c>
      <c r="E78" s="213"/>
      <c r="G78" s="4"/>
    </row>
    <row r="79" spans="1:7" x14ac:dyDescent="0.25">
      <c r="A79">
        <v>31100</v>
      </c>
      <c r="B79" t="s">
        <v>300</v>
      </c>
      <c r="C79" s="215">
        <v>9.5007000000000008E-3</v>
      </c>
      <c r="D79" s="6">
        <v>30693517.490000002</v>
      </c>
      <c r="E79" s="213"/>
      <c r="G79" s="4"/>
    </row>
    <row r="80" spans="1:7" x14ac:dyDescent="0.25">
      <c r="A80">
        <v>31101</v>
      </c>
      <c r="B80" t="s">
        <v>301</v>
      </c>
      <c r="C80" s="215">
        <v>5.8999999999999998E-5</v>
      </c>
      <c r="D80" s="6">
        <v>206110.65999999997</v>
      </c>
      <c r="E80" s="213"/>
      <c r="G80" s="4"/>
    </row>
    <row r="81" spans="1:7" x14ac:dyDescent="0.25">
      <c r="A81">
        <v>31102</v>
      </c>
      <c r="B81" t="s">
        <v>302</v>
      </c>
      <c r="C81" s="215">
        <v>1.7569999999999999E-4</v>
      </c>
      <c r="D81" s="6">
        <v>495029.17</v>
      </c>
      <c r="E81" s="213"/>
      <c r="G81" s="4"/>
    </row>
    <row r="82" spans="1:7" x14ac:dyDescent="0.25">
      <c r="A82">
        <v>31105</v>
      </c>
      <c r="B82" t="s">
        <v>179</v>
      </c>
      <c r="C82" s="215">
        <v>1.5560000000000001E-3</v>
      </c>
      <c r="D82" s="6">
        <v>4975348.03</v>
      </c>
      <c r="E82" s="213"/>
      <c r="G82" s="4"/>
    </row>
    <row r="83" spans="1:7" x14ac:dyDescent="0.25">
      <c r="A83">
        <v>31110</v>
      </c>
      <c r="B83" t="s">
        <v>303</v>
      </c>
      <c r="C83" s="215">
        <v>2.2407E-3</v>
      </c>
      <c r="D83" s="6">
        <v>7001106.3900000006</v>
      </c>
      <c r="E83" s="213"/>
      <c r="G83" s="4"/>
    </row>
    <row r="84" spans="1:7" x14ac:dyDescent="0.25">
      <c r="A84">
        <v>31200</v>
      </c>
      <c r="B84" t="s">
        <v>304</v>
      </c>
      <c r="C84" s="215">
        <v>4.1738000000000001E-3</v>
      </c>
      <c r="D84" s="6">
        <v>13624592.910000002</v>
      </c>
      <c r="E84" s="213"/>
      <c r="G84" s="4"/>
    </row>
    <row r="85" spans="1:7" x14ac:dyDescent="0.25">
      <c r="A85">
        <v>31205</v>
      </c>
      <c r="B85" t="s">
        <v>233</v>
      </c>
      <c r="C85" s="215">
        <v>4.4059999999999998E-4</v>
      </c>
      <c r="D85" s="6">
        <v>1643662.74</v>
      </c>
      <c r="E85" s="213"/>
      <c r="G85" s="4"/>
    </row>
    <row r="86" spans="1:7" x14ac:dyDescent="0.25">
      <c r="A86">
        <v>31300</v>
      </c>
      <c r="B86" t="s">
        <v>305</v>
      </c>
      <c r="C86" s="215">
        <v>1.2531E-2</v>
      </c>
      <c r="D86" s="6">
        <v>38746036.629999995</v>
      </c>
      <c r="E86" s="213"/>
      <c r="G86" s="4"/>
    </row>
    <row r="87" spans="1:7" x14ac:dyDescent="0.25">
      <c r="A87">
        <v>31301</v>
      </c>
      <c r="B87" t="s">
        <v>306</v>
      </c>
      <c r="C87" s="215">
        <v>2.307E-4</v>
      </c>
      <c r="D87" s="6">
        <v>678765.25000000012</v>
      </c>
      <c r="E87" s="213"/>
      <c r="G87" s="4"/>
    </row>
    <row r="88" spans="1:7" x14ac:dyDescent="0.25">
      <c r="A88">
        <v>31320</v>
      </c>
      <c r="B88" t="s">
        <v>307</v>
      </c>
      <c r="C88" s="215">
        <v>2.0701999999999999E-3</v>
      </c>
      <c r="D88" s="6">
        <v>6263438.3499999996</v>
      </c>
      <c r="E88" s="213"/>
      <c r="G88" s="4"/>
    </row>
    <row r="89" spans="1:7" x14ac:dyDescent="0.25">
      <c r="A89">
        <v>31400</v>
      </c>
      <c r="B89" t="s">
        <v>308</v>
      </c>
      <c r="C89" s="215">
        <v>4.0001000000000004E-3</v>
      </c>
      <c r="D89" s="6">
        <v>12969174.280000001</v>
      </c>
      <c r="E89" s="213"/>
      <c r="G89" s="4"/>
    </row>
    <row r="90" spans="1:7" x14ac:dyDescent="0.25">
      <c r="A90">
        <v>31405</v>
      </c>
      <c r="B90" t="s">
        <v>184</v>
      </c>
      <c r="C90" s="215">
        <v>9.7999999999999997E-4</v>
      </c>
      <c r="D90" s="6">
        <v>3405233.3699999992</v>
      </c>
      <c r="E90" s="213"/>
      <c r="G90" s="4"/>
    </row>
    <row r="91" spans="1:7" x14ac:dyDescent="0.25">
      <c r="A91">
        <v>31500</v>
      </c>
      <c r="B91" t="s">
        <v>309</v>
      </c>
      <c r="C91" s="215">
        <v>7.6970000000000001E-4</v>
      </c>
      <c r="D91" s="6">
        <v>2549056.46</v>
      </c>
      <c r="E91" s="213"/>
      <c r="G91" s="4"/>
    </row>
    <row r="92" spans="1:7" x14ac:dyDescent="0.25">
      <c r="A92">
        <v>31600</v>
      </c>
      <c r="B92" t="s">
        <v>310</v>
      </c>
      <c r="C92" s="215">
        <v>3.1627000000000001E-3</v>
      </c>
      <c r="D92" s="6">
        <v>10097212.310000001</v>
      </c>
      <c r="E92" s="213"/>
      <c r="G92" s="4"/>
    </row>
    <row r="93" spans="1:7" x14ac:dyDescent="0.25">
      <c r="A93">
        <v>31605</v>
      </c>
      <c r="B93" t="s">
        <v>186</v>
      </c>
      <c r="C93" s="215">
        <v>5.2380000000000005E-4</v>
      </c>
      <c r="D93" s="6">
        <v>1821420.3800000001</v>
      </c>
      <c r="E93" s="213"/>
      <c r="G93" s="4"/>
    </row>
    <row r="94" spans="1:7" x14ac:dyDescent="0.25">
      <c r="A94">
        <v>31700</v>
      </c>
      <c r="B94" t="s">
        <v>311</v>
      </c>
      <c r="C94" s="215">
        <v>8.1010000000000001E-4</v>
      </c>
      <c r="D94" s="6">
        <v>2674223.3099999996</v>
      </c>
      <c r="E94" s="213"/>
      <c r="G94" s="4"/>
    </row>
    <row r="95" spans="1:7" x14ac:dyDescent="0.25">
      <c r="A95">
        <v>31800</v>
      </c>
      <c r="B95" t="s">
        <v>312</v>
      </c>
      <c r="C95" s="215">
        <v>5.6125000000000003E-3</v>
      </c>
      <c r="D95" s="6">
        <v>18066994.940000005</v>
      </c>
      <c r="E95" s="213"/>
      <c r="G95" s="4"/>
    </row>
    <row r="96" spans="1:7" x14ac:dyDescent="0.25">
      <c r="A96">
        <v>31805</v>
      </c>
      <c r="B96" t="s">
        <v>187</v>
      </c>
      <c r="C96" s="215">
        <v>1.1194E-3</v>
      </c>
      <c r="D96" s="6">
        <v>3832630.7199999997</v>
      </c>
      <c r="E96" s="213"/>
      <c r="G96" s="4"/>
    </row>
    <row r="97" spans="1:7" x14ac:dyDescent="0.25">
      <c r="A97">
        <v>31810</v>
      </c>
      <c r="B97" t="s">
        <v>313</v>
      </c>
      <c r="C97" s="215">
        <v>1.3399E-3</v>
      </c>
      <c r="D97" s="6">
        <v>4320547.03</v>
      </c>
      <c r="E97" s="213"/>
      <c r="G97" s="4"/>
    </row>
    <row r="98" spans="1:7" x14ac:dyDescent="0.25">
      <c r="A98">
        <v>31820</v>
      </c>
      <c r="B98" t="s">
        <v>314</v>
      </c>
      <c r="C98" s="215">
        <v>1.0824000000000001E-3</v>
      </c>
      <c r="D98" s="6">
        <v>3511279.49</v>
      </c>
      <c r="E98" s="213"/>
      <c r="G98" s="4"/>
    </row>
    <row r="99" spans="1:7" x14ac:dyDescent="0.25">
      <c r="A99">
        <v>31900</v>
      </c>
      <c r="B99" t="s">
        <v>315</v>
      </c>
      <c r="C99" s="215">
        <v>3.6584999999999999E-3</v>
      </c>
      <c r="D99" s="6">
        <v>11521597.789999999</v>
      </c>
      <c r="E99" s="213"/>
      <c r="G99" s="4"/>
    </row>
    <row r="100" spans="1:7" x14ac:dyDescent="0.25">
      <c r="A100">
        <v>32000</v>
      </c>
      <c r="B100" t="s">
        <v>316</v>
      </c>
      <c r="C100" s="215">
        <v>1.3156999999999999E-3</v>
      </c>
      <c r="D100" s="6">
        <v>4253772.9000000004</v>
      </c>
      <c r="E100" s="213"/>
      <c r="G100" s="4"/>
    </row>
    <row r="101" spans="1:7" x14ac:dyDescent="0.25">
      <c r="A101">
        <v>32005</v>
      </c>
      <c r="B101" t="s">
        <v>229</v>
      </c>
      <c r="C101" s="215">
        <v>3.5829999999999998E-4</v>
      </c>
      <c r="D101" s="6">
        <v>1059649.5</v>
      </c>
      <c r="E101" s="213"/>
      <c r="G101" s="4"/>
    </row>
    <row r="102" spans="1:7" x14ac:dyDescent="0.25">
      <c r="A102">
        <v>32100</v>
      </c>
      <c r="B102" t="s">
        <v>317</v>
      </c>
      <c r="C102" s="215">
        <v>7.3879999999999996E-4</v>
      </c>
      <c r="D102" s="6">
        <v>2489791.35</v>
      </c>
      <c r="E102" s="213"/>
      <c r="G102" s="4"/>
    </row>
    <row r="103" spans="1:7" x14ac:dyDescent="0.25">
      <c r="A103">
        <v>32200</v>
      </c>
      <c r="B103" t="s">
        <v>318</v>
      </c>
      <c r="C103" s="215">
        <v>6.087E-4</v>
      </c>
      <c r="D103" s="6">
        <v>1893280.9000000001</v>
      </c>
      <c r="E103" s="213"/>
      <c r="G103" s="4"/>
    </row>
    <row r="104" spans="1:7" x14ac:dyDescent="0.25">
      <c r="A104">
        <v>32300</v>
      </c>
      <c r="B104" t="s">
        <v>319</v>
      </c>
      <c r="C104" s="215">
        <v>5.4200000000000003E-3</v>
      </c>
      <c r="D104" s="6">
        <v>17443619.109999999</v>
      </c>
      <c r="E104" s="213"/>
      <c r="G104" s="4"/>
    </row>
    <row r="105" spans="1:7" x14ac:dyDescent="0.25">
      <c r="A105">
        <v>32305</v>
      </c>
      <c r="B105" t="s">
        <v>320</v>
      </c>
      <c r="C105" s="215">
        <v>7.1170000000000001E-4</v>
      </c>
      <c r="D105" s="6">
        <v>2261626.9400000004</v>
      </c>
      <c r="E105" s="213"/>
      <c r="G105" s="4"/>
    </row>
    <row r="106" spans="1:7" x14ac:dyDescent="0.25">
      <c r="A106">
        <v>32400</v>
      </c>
      <c r="B106" t="s">
        <v>321</v>
      </c>
      <c r="C106" s="215">
        <v>2.0349000000000001E-3</v>
      </c>
      <c r="D106" s="6">
        <v>6421392.7500000009</v>
      </c>
      <c r="E106" s="213"/>
      <c r="G106" s="4"/>
    </row>
    <row r="107" spans="1:7" x14ac:dyDescent="0.25">
      <c r="A107">
        <v>32405</v>
      </c>
      <c r="B107" t="s">
        <v>225</v>
      </c>
      <c r="C107" s="215">
        <v>5.042E-4</v>
      </c>
      <c r="D107" s="6">
        <v>1717236.8499999996</v>
      </c>
      <c r="E107" s="213"/>
      <c r="G107" s="4"/>
    </row>
    <row r="108" spans="1:7" x14ac:dyDescent="0.25">
      <c r="A108">
        <v>32410</v>
      </c>
      <c r="B108" t="s">
        <v>322</v>
      </c>
      <c r="C108" s="215">
        <v>8.652E-4</v>
      </c>
      <c r="D108" s="6">
        <v>3111458.92</v>
      </c>
      <c r="E108" s="213"/>
      <c r="G108" s="4"/>
    </row>
    <row r="109" spans="1:7" x14ac:dyDescent="0.25">
      <c r="A109">
        <v>32500</v>
      </c>
      <c r="B109" t="s">
        <v>323</v>
      </c>
      <c r="C109" s="215">
        <v>4.7220999999999999E-3</v>
      </c>
      <c r="D109" s="6">
        <v>14641311.77</v>
      </c>
      <c r="E109" s="213"/>
      <c r="G109" s="4"/>
    </row>
    <row r="110" spans="1:7" x14ac:dyDescent="0.25">
      <c r="A110">
        <v>32505</v>
      </c>
      <c r="B110" t="s">
        <v>193</v>
      </c>
      <c r="C110" s="215">
        <v>7.8430000000000004E-4</v>
      </c>
      <c r="D110" s="6">
        <v>2644022.8900000006</v>
      </c>
      <c r="E110" s="213"/>
      <c r="G110" s="4"/>
    </row>
    <row r="111" spans="1:7" ht="13.8" x14ac:dyDescent="0.25">
      <c r="A111">
        <v>32600</v>
      </c>
      <c r="B111" t="s">
        <v>324</v>
      </c>
      <c r="C111" s="215">
        <v>1.6504899999999999E-2</v>
      </c>
      <c r="D111" s="6">
        <v>52096161.450000003</v>
      </c>
      <c r="E111" s="236"/>
      <c r="F111" s="236"/>
      <c r="G111" s="4"/>
    </row>
    <row r="112" spans="1:7" ht="13.8" x14ac:dyDescent="0.25">
      <c r="A112">
        <v>32605</v>
      </c>
      <c r="B112" t="s">
        <v>197</v>
      </c>
      <c r="C112" s="215">
        <v>2.9196000000000001E-3</v>
      </c>
      <c r="D112" s="6">
        <v>9688655.9100000001</v>
      </c>
      <c r="E112" s="236"/>
      <c r="F112" s="236"/>
      <c r="G112" s="4"/>
    </row>
    <row r="113" spans="1:7" ht="13.8" x14ac:dyDescent="0.25">
      <c r="A113">
        <v>32700</v>
      </c>
      <c r="B113" t="s">
        <v>325</v>
      </c>
      <c r="C113" s="215">
        <v>1.8575E-3</v>
      </c>
      <c r="D113" s="6">
        <v>5555512</v>
      </c>
      <c r="E113" s="236"/>
      <c r="F113" s="236"/>
      <c r="G113" s="4"/>
    </row>
    <row r="114" spans="1:7" ht="13.8" x14ac:dyDescent="0.25">
      <c r="A114">
        <v>32800</v>
      </c>
      <c r="B114" t="s">
        <v>326</v>
      </c>
      <c r="C114" s="215">
        <v>2.4118999999999998E-3</v>
      </c>
      <c r="D114" s="6">
        <v>7400041.7600000007</v>
      </c>
      <c r="E114" s="236"/>
      <c r="F114" s="236"/>
      <c r="G114" s="4"/>
    </row>
    <row r="115" spans="1:7" ht="13.8" x14ac:dyDescent="0.25">
      <c r="A115">
        <v>32900</v>
      </c>
      <c r="B115" t="s">
        <v>327</v>
      </c>
      <c r="C115" s="215">
        <v>6.0549999999999996E-3</v>
      </c>
      <c r="D115" s="6">
        <v>18888987.300000001</v>
      </c>
      <c r="E115" s="236"/>
      <c r="F115" s="236"/>
      <c r="G115" s="4"/>
    </row>
    <row r="116" spans="1:7" ht="13.8" x14ac:dyDescent="0.25">
      <c r="A116">
        <v>32901</v>
      </c>
      <c r="B116" s="2" t="s">
        <v>328</v>
      </c>
      <c r="D116" s="6">
        <v>2085.6999999999998</v>
      </c>
      <c r="E116" s="236"/>
      <c r="F116" s="236"/>
      <c r="G116" s="4"/>
    </row>
    <row r="117" spans="1:7" ht="13.8" x14ac:dyDescent="0.25">
      <c r="A117">
        <v>32904</v>
      </c>
      <c r="B117" t="s">
        <v>329</v>
      </c>
      <c r="C117" s="215">
        <v>1.143E-4</v>
      </c>
      <c r="D117" s="6">
        <v>315960.37000000005</v>
      </c>
      <c r="E117" s="236"/>
      <c r="F117" s="236"/>
      <c r="G117" s="4"/>
    </row>
    <row r="118" spans="1:7" ht="13.8" x14ac:dyDescent="0.25">
      <c r="A118">
        <v>32905</v>
      </c>
      <c r="B118" t="s">
        <v>330</v>
      </c>
      <c r="C118" s="215">
        <v>8.8239999999999998E-4</v>
      </c>
      <c r="D118" s="6">
        <v>3011761.8799999994</v>
      </c>
      <c r="E118" s="236"/>
      <c r="F118" s="236"/>
      <c r="G118" s="4"/>
    </row>
    <row r="119" spans="1:7" ht="13.8" x14ac:dyDescent="0.25">
      <c r="A119">
        <v>32910</v>
      </c>
      <c r="B119" t="s">
        <v>331</v>
      </c>
      <c r="C119" s="215">
        <v>1.1141E-3</v>
      </c>
      <c r="D119" s="6">
        <v>3524062.3399999994</v>
      </c>
      <c r="E119" s="236"/>
      <c r="F119" s="236"/>
      <c r="G119" s="4"/>
    </row>
    <row r="120" spans="1:7" ht="13.8" x14ac:dyDescent="0.25">
      <c r="A120">
        <v>32915</v>
      </c>
      <c r="B120" t="s">
        <v>332</v>
      </c>
      <c r="C120" s="215">
        <v>1.528E-4</v>
      </c>
      <c r="D120" s="6">
        <v>416948.9</v>
      </c>
      <c r="E120" s="236"/>
      <c r="F120" s="236"/>
      <c r="G120" s="4"/>
    </row>
    <row r="121" spans="1:7" ht="13.8" x14ac:dyDescent="0.25">
      <c r="A121">
        <v>32920</v>
      </c>
      <c r="B121" t="s">
        <v>333</v>
      </c>
      <c r="C121" s="215">
        <v>8.1550000000000004E-4</v>
      </c>
      <c r="D121" s="6">
        <v>2688087.6199999996</v>
      </c>
      <c r="E121" s="236"/>
      <c r="F121" s="236"/>
      <c r="G121" s="4"/>
    </row>
    <row r="122" spans="1:7" ht="13.8" x14ac:dyDescent="0.25">
      <c r="A122">
        <v>33000</v>
      </c>
      <c r="B122" t="s">
        <v>334</v>
      </c>
      <c r="C122" s="215">
        <v>2.3169000000000002E-3</v>
      </c>
      <c r="D122" s="6">
        <v>7378299.9700000007</v>
      </c>
      <c r="E122" s="236"/>
      <c r="F122" s="236"/>
      <c r="G122" s="4"/>
    </row>
    <row r="123" spans="1:7" ht="13.8" x14ac:dyDescent="0.25">
      <c r="A123">
        <v>33001</v>
      </c>
      <c r="B123" t="s">
        <v>335</v>
      </c>
      <c r="C123" s="215">
        <v>2.9200000000000002E-5</v>
      </c>
      <c r="D123" s="6">
        <v>113308.48</v>
      </c>
      <c r="E123" s="236"/>
      <c r="F123" s="236"/>
      <c r="G123" s="4"/>
    </row>
    <row r="124" spans="1:7" ht="13.8" x14ac:dyDescent="0.25">
      <c r="A124">
        <v>33027</v>
      </c>
      <c r="B124" t="s">
        <v>336</v>
      </c>
      <c r="C124" s="215">
        <v>3.8840000000000001E-4</v>
      </c>
      <c r="D124" s="6">
        <v>1129198.02</v>
      </c>
      <c r="E124" s="236"/>
      <c r="F124" s="236"/>
      <c r="G124" s="4"/>
    </row>
    <row r="125" spans="1:7" ht="13.8" x14ac:dyDescent="0.25">
      <c r="A125">
        <v>33100</v>
      </c>
      <c r="B125" t="s">
        <v>337</v>
      </c>
      <c r="C125" s="215">
        <v>3.2514000000000002E-3</v>
      </c>
      <c r="D125" s="6">
        <v>10624142.83</v>
      </c>
      <c r="E125" s="236"/>
      <c r="F125" s="236"/>
      <c r="G125" s="4"/>
    </row>
    <row r="126" spans="1:7" ht="13.8" x14ac:dyDescent="0.25">
      <c r="A126">
        <v>33105</v>
      </c>
      <c r="B126" t="s">
        <v>204</v>
      </c>
      <c r="C126" s="215">
        <v>3.9439999999999999E-4</v>
      </c>
      <c r="D126" s="6">
        <v>1432885.62</v>
      </c>
      <c r="E126" s="236"/>
      <c r="F126" s="236"/>
      <c r="G126" s="4"/>
    </row>
    <row r="127" spans="1:7" ht="13.8" x14ac:dyDescent="0.25">
      <c r="A127">
        <v>33200</v>
      </c>
      <c r="B127" t="s">
        <v>338</v>
      </c>
      <c r="C127" s="215">
        <v>1.5617600000000001E-2</v>
      </c>
      <c r="D127" s="6">
        <v>48024732.770000003</v>
      </c>
      <c r="E127" s="236"/>
      <c r="F127" s="236"/>
      <c r="G127" s="4"/>
    </row>
    <row r="128" spans="1:7" ht="13.8" x14ac:dyDescent="0.25">
      <c r="A128">
        <v>33202</v>
      </c>
      <c r="B128" t="s">
        <v>339</v>
      </c>
      <c r="C128" s="215">
        <v>2.8160000000000001E-4</v>
      </c>
      <c r="D128" s="6">
        <v>711564.38</v>
      </c>
      <c r="E128" s="236"/>
      <c r="F128" s="236"/>
      <c r="G128" s="4"/>
    </row>
    <row r="129" spans="1:7" ht="13.8" x14ac:dyDescent="0.25">
      <c r="A129">
        <v>33203</v>
      </c>
      <c r="B129" t="s">
        <v>340</v>
      </c>
      <c r="C129" s="215">
        <v>3.1799999999999998E-4</v>
      </c>
      <c r="D129" s="6">
        <v>806181.40999999992</v>
      </c>
      <c r="E129" s="236"/>
      <c r="F129" s="236"/>
      <c r="G129" s="4"/>
    </row>
    <row r="130" spans="1:7" ht="13.8" x14ac:dyDescent="0.25">
      <c r="A130">
        <v>33204</v>
      </c>
      <c r="B130" t="s">
        <v>341</v>
      </c>
      <c r="C130" s="215">
        <v>4.8939999999999997E-4</v>
      </c>
      <c r="D130" s="6">
        <v>1422794.38</v>
      </c>
      <c r="E130" s="236"/>
      <c r="F130" s="236"/>
      <c r="G130" s="4"/>
    </row>
    <row r="131" spans="1:7" ht="13.8" x14ac:dyDescent="0.25">
      <c r="A131">
        <v>33205</v>
      </c>
      <c r="B131" t="s">
        <v>195</v>
      </c>
      <c r="C131" s="215">
        <v>1.3887999999999999E-3</v>
      </c>
      <c r="D131" s="6">
        <v>4466858.9599999981</v>
      </c>
      <c r="E131" s="236"/>
      <c r="F131" s="236"/>
      <c r="G131" s="4"/>
    </row>
    <row r="132" spans="1:7" ht="13.8" x14ac:dyDescent="0.25">
      <c r="A132">
        <v>33206</v>
      </c>
      <c r="B132" t="s">
        <v>342</v>
      </c>
      <c r="C132" s="215">
        <v>1.329E-4</v>
      </c>
      <c r="D132" s="6">
        <v>429629.12999999989</v>
      </c>
      <c r="E132" s="236"/>
      <c r="F132" s="236"/>
      <c r="G132" s="4"/>
    </row>
    <row r="133" spans="1:7" ht="13.8" x14ac:dyDescent="0.25">
      <c r="A133">
        <v>33207</v>
      </c>
      <c r="B133" t="s">
        <v>343</v>
      </c>
      <c r="C133" s="215">
        <v>5.1559999999999996E-4</v>
      </c>
      <c r="D133" s="6">
        <v>1289101.83</v>
      </c>
      <c r="E133" s="236"/>
      <c r="F133" s="236"/>
      <c r="G133" s="4"/>
    </row>
    <row r="134" spans="1:7" ht="13.8" x14ac:dyDescent="0.25">
      <c r="A134">
        <v>33300</v>
      </c>
      <c r="B134" t="s">
        <v>344</v>
      </c>
      <c r="C134" s="215">
        <v>2.2182999999999999E-3</v>
      </c>
      <c r="D134" s="6">
        <v>7084599.6600000001</v>
      </c>
      <c r="E134" s="236"/>
      <c r="F134" s="236"/>
      <c r="G134" s="4"/>
    </row>
    <row r="135" spans="1:7" x14ac:dyDescent="0.25">
      <c r="A135">
        <v>33305</v>
      </c>
      <c r="B135" t="s">
        <v>196</v>
      </c>
      <c r="C135" s="215">
        <v>4.6900000000000002E-4</v>
      </c>
      <c r="D135" s="6">
        <v>1631519.18</v>
      </c>
      <c r="E135" s="213"/>
      <c r="G135" s="4"/>
    </row>
    <row r="136" spans="1:7" x14ac:dyDescent="0.25">
      <c r="A136">
        <v>33400</v>
      </c>
      <c r="B136" t="s">
        <v>345</v>
      </c>
      <c r="C136" s="215">
        <v>2.1636099999999998E-2</v>
      </c>
      <c r="D136" s="6">
        <v>67559617.170000017</v>
      </c>
      <c r="E136" s="213"/>
      <c r="G136" s="4"/>
    </row>
    <row r="137" spans="1:7" x14ac:dyDescent="0.25">
      <c r="A137">
        <v>33402</v>
      </c>
      <c r="B137" t="s">
        <v>346</v>
      </c>
      <c r="C137" s="215">
        <v>1.9689999999999999E-4</v>
      </c>
      <c r="D137" s="6">
        <v>551727.15999999992</v>
      </c>
      <c r="E137" s="213"/>
      <c r="G137" s="4"/>
    </row>
    <row r="138" spans="1:7" x14ac:dyDescent="0.25">
      <c r="A138">
        <v>33405</v>
      </c>
      <c r="B138" t="s">
        <v>347</v>
      </c>
      <c r="C138" s="215">
        <v>2.0536999999999999E-3</v>
      </c>
      <c r="D138" s="6">
        <v>6603180.2200000016</v>
      </c>
      <c r="E138" s="213"/>
      <c r="G138" s="4"/>
    </row>
    <row r="139" spans="1:7" x14ac:dyDescent="0.25">
      <c r="A139">
        <v>33500</v>
      </c>
      <c r="B139" t="s">
        <v>348</v>
      </c>
      <c r="C139" s="215">
        <v>2.9881E-3</v>
      </c>
      <c r="D139" s="6">
        <v>9431615.0800000001</v>
      </c>
      <c r="E139" s="213"/>
      <c r="G139" s="4"/>
    </row>
    <row r="140" spans="1:7" x14ac:dyDescent="0.25">
      <c r="A140">
        <v>33501</v>
      </c>
      <c r="B140" t="s">
        <v>349</v>
      </c>
      <c r="C140" s="215">
        <v>1.2520000000000001E-4</v>
      </c>
      <c r="D140" s="6">
        <v>392645.72</v>
      </c>
      <c r="E140" s="213"/>
      <c r="G140" s="4"/>
    </row>
    <row r="141" spans="1:7" x14ac:dyDescent="0.25">
      <c r="A141">
        <v>33600</v>
      </c>
      <c r="B141" t="s">
        <v>350</v>
      </c>
      <c r="C141" s="215">
        <v>1.02442E-2</v>
      </c>
      <c r="D141" s="6">
        <v>31913911.200000003</v>
      </c>
      <c r="E141" s="213"/>
      <c r="G141" s="4"/>
    </row>
    <row r="142" spans="1:7" x14ac:dyDescent="0.25">
      <c r="A142">
        <v>33605</v>
      </c>
      <c r="B142" t="s">
        <v>199</v>
      </c>
      <c r="C142" s="215">
        <v>1.3465E-3</v>
      </c>
      <c r="D142" s="6">
        <v>4795249.9999999991</v>
      </c>
      <c r="E142" s="213"/>
      <c r="G142" s="4"/>
    </row>
    <row r="143" spans="1:7" x14ac:dyDescent="0.25">
      <c r="A143">
        <v>33700</v>
      </c>
      <c r="B143" t="s">
        <v>351</v>
      </c>
      <c r="C143" s="215">
        <v>6.9309999999999999E-4</v>
      </c>
      <c r="D143" s="6">
        <v>2193971.34</v>
      </c>
      <c r="E143" s="213"/>
      <c r="G143" s="4"/>
    </row>
    <row r="144" spans="1:7" x14ac:dyDescent="0.25">
      <c r="A144">
        <v>33800</v>
      </c>
      <c r="B144" t="s">
        <v>352</v>
      </c>
      <c r="C144" s="215">
        <v>5.5920000000000004E-4</v>
      </c>
      <c r="D144" s="6">
        <v>1870734.6900000006</v>
      </c>
      <c r="E144" s="213"/>
      <c r="G144" s="4"/>
    </row>
    <row r="145" spans="1:7" x14ac:dyDescent="0.25">
      <c r="A145">
        <v>33900</v>
      </c>
      <c r="B145" t="s">
        <v>353</v>
      </c>
      <c r="C145" s="215">
        <v>2.4120999999999999E-3</v>
      </c>
      <c r="D145" s="6">
        <v>7815319.6399999997</v>
      </c>
      <c r="E145" s="213"/>
      <c r="G145" s="4"/>
    </row>
    <row r="146" spans="1:7" x14ac:dyDescent="0.25">
      <c r="A146">
        <v>34000</v>
      </c>
      <c r="B146" t="s">
        <v>354</v>
      </c>
      <c r="C146" s="215">
        <v>1.3345E-3</v>
      </c>
      <c r="D146" s="6">
        <v>4163135.8499999996</v>
      </c>
      <c r="E146" s="213"/>
      <c r="G146" s="4"/>
    </row>
    <row r="147" spans="1:7" x14ac:dyDescent="0.25">
      <c r="A147">
        <v>34100</v>
      </c>
      <c r="B147" t="s">
        <v>355</v>
      </c>
      <c r="C147" s="215">
        <v>2.80632E-2</v>
      </c>
      <c r="D147" s="6">
        <v>86170427.200000003</v>
      </c>
      <c r="E147" s="213"/>
      <c r="G147" s="4"/>
    </row>
    <row r="148" spans="1:7" x14ac:dyDescent="0.25">
      <c r="A148">
        <v>34105</v>
      </c>
      <c r="B148" t="s">
        <v>200</v>
      </c>
      <c r="C148" s="215">
        <v>2.1811000000000001E-3</v>
      </c>
      <c r="D148" s="6">
        <v>7933393.4500000011</v>
      </c>
      <c r="E148" s="213"/>
      <c r="G148" s="4"/>
    </row>
    <row r="149" spans="1:7" x14ac:dyDescent="0.25">
      <c r="A149">
        <v>34200</v>
      </c>
      <c r="B149" t="s">
        <v>356</v>
      </c>
      <c r="C149" s="215">
        <v>7.3660000000000002E-4</v>
      </c>
      <c r="D149" s="6">
        <v>2574875.4700000002</v>
      </c>
      <c r="E149" s="213"/>
      <c r="G149" s="4"/>
    </row>
    <row r="150" spans="1:7" x14ac:dyDescent="0.25">
      <c r="A150">
        <v>34205</v>
      </c>
      <c r="B150" t="s">
        <v>201</v>
      </c>
      <c r="C150" s="215">
        <v>2.901E-4</v>
      </c>
      <c r="D150" s="6">
        <v>1085745.3199999998</v>
      </c>
      <c r="E150" s="213"/>
      <c r="G150" s="4"/>
    </row>
    <row r="151" spans="1:7" x14ac:dyDescent="0.25">
      <c r="A151">
        <v>34220</v>
      </c>
      <c r="B151" t="s">
        <v>357</v>
      </c>
      <c r="C151" s="215">
        <v>1.0652999999999999E-3</v>
      </c>
      <c r="D151" s="6">
        <v>3445717.13</v>
      </c>
      <c r="E151" s="213"/>
      <c r="G151" s="4"/>
    </row>
    <row r="152" spans="1:7" x14ac:dyDescent="0.25">
      <c r="A152">
        <v>34230</v>
      </c>
      <c r="B152" t="s">
        <v>358</v>
      </c>
      <c r="C152" s="215">
        <v>3.7550000000000002E-4</v>
      </c>
      <c r="D152" s="6">
        <v>1219784.93</v>
      </c>
      <c r="E152" s="213"/>
      <c r="G152" s="4"/>
    </row>
    <row r="153" spans="1:7" x14ac:dyDescent="0.25">
      <c r="A153">
        <v>34300</v>
      </c>
      <c r="B153" t="s">
        <v>359</v>
      </c>
      <c r="C153" s="215">
        <v>6.5783999999999999E-3</v>
      </c>
      <c r="D153" s="6">
        <v>20039735.550000001</v>
      </c>
      <c r="E153" s="213"/>
      <c r="G153" s="4"/>
    </row>
    <row r="154" spans="1:7" x14ac:dyDescent="0.25">
      <c r="A154">
        <v>34400</v>
      </c>
      <c r="B154" t="s">
        <v>360</v>
      </c>
      <c r="C154" s="215">
        <v>2.5528999999999999E-3</v>
      </c>
      <c r="D154" s="6">
        <v>7952248.6499999994</v>
      </c>
      <c r="E154" s="213"/>
      <c r="G154" s="4"/>
    </row>
    <row r="155" spans="1:7" x14ac:dyDescent="0.25">
      <c r="A155">
        <v>34405</v>
      </c>
      <c r="B155" t="s">
        <v>202</v>
      </c>
      <c r="C155" s="215">
        <v>4.5179999999999998E-4</v>
      </c>
      <c r="D155" s="6">
        <v>1484375.32</v>
      </c>
      <c r="E155" s="213"/>
      <c r="G155" s="4"/>
    </row>
    <row r="156" spans="1:7" x14ac:dyDescent="0.25">
      <c r="A156">
        <v>34500</v>
      </c>
      <c r="B156" t="s">
        <v>361</v>
      </c>
      <c r="C156" s="215">
        <v>5.0461999999999998E-3</v>
      </c>
      <c r="D156" s="6">
        <v>15492696.409999998</v>
      </c>
      <c r="E156" s="213"/>
      <c r="G156" s="4"/>
    </row>
    <row r="157" spans="1:7" x14ac:dyDescent="0.25">
      <c r="A157">
        <v>34501</v>
      </c>
      <c r="B157" t="s">
        <v>362</v>
      </c>
      <c r="C157" s="215">
        <v>7.2999999999999999E-5</v>
      </c>
      <c r="D157" s="6">
        <v>201023.35999999999</v>
      </c>
      <c r="E157" s="213"/>
      <c r="G157" s="4"/>
    </row>
    <row r="158" spans="1:7" x14ac:dyDescent="0.25">
      <c r="A158">
        <v>34505</v>
      </c>
      <c r="B158" t="s">
        <v>182</v>
      </c>
      <c r="C158" s="215">
        <v>7.8540000000000001E-4</v>
      </c>
      <c r="D158" s="6">
        <v>2621076.09</v>
      </c>
      <c r="E158" s="213"/>
      <c r="G158" s="4"/>
    </row>
    <row r="159" spans="1:7" x14ac:dyDescent="0.25">
      <c r="A159">
        <v>34600</v>
      </c>
      <c r="B159" t="s">
        <v>363</v>
      </c>
      <c r="C159" s="215">
        <v>1.0681E-3</v>
      </c>
      <c r="D159" s="6">
        <v>3495148.22</v>
      </c>
      <c r="E159" s="213"/>
      <c r="G159" s="4"/>
    </row>
    <row r="160" spans="1:7" x14ac:dyDescent="0.25">
      <c r="A160">
        <v>34605</v>
      </c>
      <c r="B160" t="s">
        <v>218</v>
      </c>
      <c r="C160" s="215">
        <v>2.0680000000000001E-4</v>
      </c>
      <c r="D160" s="6">
        <v>639102.54999999958</v>
      </c>
      <c r="E160" s="213"/>
      <c r="G160" s="4"/>
    </row>
    <row r="161" spans="1:7" x14ac:dyDescent="0.25">
      <c r="A161">
        <v>34700</v>
      </c>
      <c r="B161" t="s">
        <v>364</v>
      </c>
      <c r="C161" s="215">
        <v>3.2748999999999999E-3</v>
      </c>
      <c r="D161" s="6">
        <v>9612194.1799999997</v>
      </c>
      <c r="E161" s="213"/>
      <c r="G161" s="4"/>
    </row>
    <row r="162" spans="1:7" x14ac:dyDescent="0.25">
      <c r="A162">
        <v>34800</v>
      </c>
      <c r="B162" t="s">
        <v>365</v>
      </c>
      <c r="C162" s="215">
        <v>3.189E-4</v>
      </c>
      <c r="D162" s="6">
        <v>1119279.6599999999</v>
      </c>
      <c r="E162" s="213"/>
      <c r="G162" s="4"/>
    </row>
    <row r="163" spans="1:7" x14ac:dyDescent="0.25">
      <c r="A163">
        <v>34900</v>
      </c>
      <c r="B163" t="s">
        <v>366</v>
      </c>
      <c r="C163" s="215">
        <v>7.4231000000000002E-3</v>
      </c>
      <c r="D163" s="6">
        <v>23509640.169999998</v>
      </c>
      <c r="E163" s="213"/>
      <c r="G163" s="4"/>
    </row>
    <row r="164" spans="1:7" x14ac:dyDescent="0.25">
      <c r="A164">
        <v>34901</v>
      </c>
      <c r="B164" t="s">
        <v>367</v>
      </c>
      <c r="C164" s="215">
        <v>2.22E-4</v>
      </c>
      <c r="D164" s="6">
        <v>682549.69</v>
      </c>
      <c r="E164" s="213"/>
      <c r="G164" s="4"/>
    </row>
    <row r="165" spans="1:7" x14ac:dyDescent="0.25">
      <c r="A165">
        <v>34903</v>
      </c>
      <c r="B165" t="s">
        <v>368</v>
      </c>
      <c r="C165" s="215">
        <v>3.0499999999999999E-5</v>
      </c>
      <c r="D165" s="6">
        <v>110316.61</v>
      </c>
      <c r="E165" s="213"/>
      <c r="G165" s="4"/>
    </row>
    <row r="166" spans="1:7" x14ac:dyDescent="0.25">
      <c r="A166">
        <v>34905</v>
      </c>
      <c r="B166" t="s">
        <v>210</v>
      </c>
      <c r="C166" s="215">
        <v>6.244E-4</v>
      </c>
      <c r="D166" s="6">
        <v>2157839.09</v>
      </c>
      <c r="E166" s="213"/>
      <c r="G166" s="4"/>
    </row>
    <row r="167" spans="1:7" x14ac:dyDescent="0.25">
      <c r="A167">
        <v>34910</v>
      </c>
      <c r="B167" t="s">
        <v>369</v>
      </c>
      <c r="C167" s="215">
        <v>2.3181999999999999E-3</v>
      </c>
      <c r="D167" s="6">
        <v>7423616.4700000016</v>
      </c>
      <c r="E167" s="213"/>
      <c r="G167" s="4"/>
    </row>
    <row r="168" spans="1:7" x14ac:dyDescent="0.25">
      <c r="A168">
        <v>35000</v>
      </c>
      <c r="B168" t="s">
        <v>370</v>
      </c>
      <c r="C168" s="215">
        <v>1.5686000000000001E-3</v>
      </c>
      <c r="D168" s="6">
        <v>4728405.3600000003</v>
      </c>
      <c r="E168" s="213"/>
      <c r="G168" s="4"/>
    </row>
    <row r="169" spans="1:7" x14ac:dyDescent="0.25">
      <c r="A169">
        <v>35005</v>
      </c>
      <c r="B169" t="s">
        <v>226</v>
      </c>
      <c r="C169" s="215">
        <v>5.731E-4</v>
      </c>
      <c r="D169" s="6">
        <v>1923303.3800000001</v>
      </c>
      <c r="E169" s="213"/>
      <c r="G169" s="4"/>
    </row>
    <row r="170" spans="1:7" x14ac:dyDescent="0.25">
      <c r="A170">
        <v>35100</v>
      </c>
      <c r="B170" t="s">
        <v>371</v>
      </c>
      <c r="C170" s="215">
        <v>1.3351999999999999E-2</v>
      </c>
      <c r="D170" s="6">
        <v>41795807.250000007</v>
      </c>
      <c r="E170" s="213"/>
      <c r="G170" s="4"/>
    </row>
    <row r="171" spans="1:7" x14ac:dyDescent="0.25">
      <c r="A171">
        <v>35105</v>
      </c>
      <c r="B171" t="s">
        <v>205</v>
      </c>
      <c r="C171" s="215">
        <v>1.1773E-3</v>
      </c>
      <c r="D171" s="6">
        <v>3875268.1499999994</v>
      </c>
      <c r="E171" s="213"/>
      <c r="G171" s="4"/>
    </row>
    <row r="172" spans="1:7" x14ac:dyDescent="0.25">
      <c r="A172">
        <v>35106</v>
      </c>
      <c r="B172" t="s">
        <v>372</v>
      </c>
      <c r="C172" s="215">
        <v>2.3809999999999999E-4</v>
      </c>
      <c r="D172" s="6">
        <v>695725.88</v>
      </c>
      <c r="E172" s="213"/>
      <c r="G172" s="4"/>
    </row>
    <row r="173" spans="1:7" x14ac:dyDescent="0.25">
      <c r="A173">
        <v>35200</v>
      </c>
      <c r="B173" t="s">
        <v>373</v>
      </c>
      <c r="C173" s="215">
        <v>4.9580000000000002E-4</v>
      </c>
      <c r="D173" s="6">
        <v>1735869.9300000002</v>
      </c>
      <c r="E173" s="213"/>
      <c r="G173" s="4"/>
    </row>
    <row r="174" spans="1:7" x14ac:dyDescent="0.25">
      <c r="A174">
        <v>35300</v>
      </c>
      <c r="B174" t="s">
        <v>374</v>
      </c>
      <c r="C174" s="215">
        <v>3.6689000000000001E-3</v>
      </c>
      <c r="D174" s="6">
        <v>11056122.109999999</v>
      </c>
      <c r="E174" s="213"/>
      <c r="G174" s="4"/>
    </row>
    <row r="175" spans="1:7" x14ac:dyDescent="0.25">
      <c r="A175">
        <v>35305</v>
      </c>
      <c r="B175" t="s">
        <v>188</v>
      </c>
      <c r="C175" s="215">
        <v>1.4265E-3</v>
      </c>
      <c r="D175" s="6">
        <v>4607004.38</v>
      </c>
      <c r="E175" s="213"/>
      <c r="G175" s="4"/>
    </row>
    <row r="176" spans="1:7" x14ac:dyDescent="0.25">
      <c r="A176">
        <v>35400</v>
      </c>
      <c r="B176" t="s">
        <v>375</v>
      </c>
      <c r="C176" s="215">
        <v>3.1248999999999999E-3</v>
      </c>
      <c r="D176" s="6">
        <v>9882574.1600000001</v>
      </c>
      <c r="E176" s="213"/>
      <c r="G176" s="4"/>
    </row>
    <row r="177" spans="1:7" x14ac:dyDescent="0.25">
      <c r="A177">
        <v>35401</v>
      </c>
      <c r="B177" t="s">
        <v>376</v>
      </c>
      <c r="C177" s="215">
        <v>2.41E-5</v>
      </c>
      <c r="D177" s="6">
        <v>71504.649999999994</v>
      </c>
      <c r="E177" s="213"/>
      <c r="G177" s="4"/>
    </row>
    <row r="178" spans="1:7" x14ac:dyDescent="0.25">
      <c r="A178">
        <v>35405</v>
      </c>
      <c r="B178" t="s">
        <v>206</v>
      </c>
      <c r="C178" s="215">
        <v>8.2169999999999997E-4</v>
      </c>
      <c r="D178" s="6">
        <v>2553397.31</v>
      </c>
      <c r="E178" s="213"/>
      <c r="G178" s="4"/>
    </row>
    <row r="179" spans="1:7" x14ac:dyDescent="0.25">
      <c r="A179">
        <v>35500</v>
      </c>
      <c r="B179" t="s">
        <v>377</v>
      </c>
      <c r="C179" s="215">
        <v>4.1440000000000001E-3</v>
      </c>
      <c r="D179" s="6">
        <v>13252834.9</v>
      </c>
      <c r="E179" s="213"/>
      <c r="G179" s="4"/>
    </row>
    <row r="180" spans="1:7" x14ac:dyDescent="0.25">
      <c r="A180">
        <v>35600</v>
      </c>
      <c r="B180" t="s">
        <v>378</v>
      </c>
      <c r="C180" s="215">
        <v>1.8166E-3</v>
      </c>
      <c r="D180" s="6">
        <v>5621483.5999999996</v>
      </c>
      <c r="E180" s="213"/>
      <c r="G180" s="4"/>
    </row>
    <row r="181" spans="1:7" x14ac:dyDescent="0.25">
      <c r="A181">
        <v>35700</v>
      </c>
      <c r="B181" t="s">
        <v>379</v>
      </c>
      <c r="C181" s="215">
        <v>9.5180000000000004E-4</v>
      </c>
      <c r="D181" s="6">
        <v>3167882.5399999996</v>
      </c>
      <c r="E181" s="213"/>
      <c r="G181" s="4"/>
    </row>
    <row r="182" spans="1:7" x14ac:dyDescent="0.25">
      <c r="A182">
        <v>35800</v>
      </c>
      <c r="B182" t="s">
        <v>380</v>
      </c>
      <c r="C182" s="215">
        <v>1.1391000000000001E-3</v>
      </c>
      <c r="D182" s="6">
        <v>3627231.3099999996</v>
      </c>
      <c r="E182" s="213"/>
      <c r="G182" s="4"/>
    </row>
    <row r="183" spans="1:7" x14ac:dyDescent="0.25">
      <c r="A183">
        <v>35805</v>
      </c>
      <c r="B183" t="s">
        <v>207</v>
      </c>
      <c r="C183" s="215">
        <v>2.3599999999999999E-4</v>
      </c>
      <c r="D183" s="6">
        <v>880213.39000000013</v>
      </c>
      <c r="E183" s="213"/>
      <c r="G183" s="4"/>
    </row>
    <row r="184" spans="1:7" x14ac:dyDescent="0.25">
      <c r="A184">
        <v>35900</v>
      </c>
      <c r="B184" t="s">
        <v>381</v>
      </c>
      <c r="C184" s="215">
        <v>2.1990999999999998E-3</v>
      </c>
      <c r="D184" s="6">
        <v>7160543.5099999988</v>
      </c>
      <c r="E184" s="213"/>
      <c r="G184" s="4"/>
    </row>
    <row r="185" spans="1:7" x14ac:dyDescent="0.25">
      <c r="A185">
        <v>35905</v>
      </c>
      <c r="B185" t="s">
        <v>209</v>
      </c>
      <c r="C185" s="215">
        <v>3.4539999999999999E-4</v>
      </c>
      <c r="D185" s="6">
        <v>1230512.4100000001</v>
      </c>
      <c r="E185" s="213"/>
      <c r="G185" s="4"/>
    </row>
    <row r="186" spans="1:7" x14ac:dyDescent="0.25">
      <c r="A186">
        <v>36000</v>
      </c>
      <c r="B186" t="s">
        <v>382</v>
      </c>
      <c r="C186" s="215">
        <v>5.9172500000000003E-2</v>
      </c>
      <c r="D186" s="6">
        <v>179284339.41000009</v>
      </c>
      <c r="E186" s="213"/>
      <c r="G186" s="4"/>
    </row>
    <row r="187" spans="1:7" x14ac:dyDescent="0.25">
      <c r="A187">
        <v>36003</v>
      </c>
      <c r="B187" t="s">
        <v>383</v>
      </c>
      <c r="C187" s="215">
        <v>4.351E-4</v>
      </c>
      <c r="D187" s="6">
        <v>1344093.75</v>
      </c>
      <c r="E187" s="213"/>
      <c r="G187" s="4"/>
    </row>
    <row r="188" spans="1:7" x14ac:dyDescent="0.25">
      <c r="A188">
        <v>36004</v>
      </c>
      <c r="B188" t="s">
        <v>384</v>
      </c>
      <c r="C188" s="215">
        <v>3.4670000000000002E-4</v>
      </c>
      <c r="D188" s="6">
        <v>1014991.3300000001</v>
      </c>
      <c r="E188" s="213"/>
      <c r="G188" s="4"/>
    </row>
    <row r="189" spans="1:7" x14ac:dyDescent="0.25">
      <c r="A189">
        <v>36005</v>
      </c>
      <c r="B189" t="s">
        <v>189</v>
      </c>
      <c r="C189" s="215">
        <v>4.3281999999999999E-3</v>
      </c>
      <c r="D189" s="6">
        <v>13920854.01</v>
      </c>
      <c r="E189" s="213"/>
      <c r="G189" s="4"/>
    </row>
    <row r="190" spans="1:7" x14ac:dyDescent="0.25">
      <c r="A190">
        <v>36006</v>
      </c>
      <c r="B190" t="s">
        <v>385</v>
      </c>
      <c r="C190" s="215">
        <v>6.9490000000000003E-4</v>
      </c>
      <c r="D190" s="6">
        <v>2013612.2600000002</v>
      </c>
      <c r="E190" s="213"/>
      <c r="G190" s="4"/>
    </row>
    <row r="191" spans="1:7" x14ac:dyDescent="0.25">
      <c r="A191">
        <v>36007</v>
      </c>
      <c r="B191" t="s">
        <v>386</v>
      </c>
      <c r="C191" s="215">
        <v>2.965E-4</v>
      </c>
      <c r="D191" s="6">
        <v>854630.81</v>
      </c>
      <c r="E191" s="213"/>
      <c r="G191" s="4"/>
    </row>
    <row r="192" spans="1:7" x14ac:dyDescent="0.25">
      <c r="A192">
        <v>36008</v>
      </c>
      <c r="B192" t="s">
        <v>387</v>
      </c>
      <c r="C192" s="215">
        <v>6.1280000000000004E-4</v>
      </c>
      <c r="D192" s="6">
        <v>1715320.3899999997</v>
      </c>
      <c r="E192" s="213"/>
      <c r="G192" s="4"/>
    </row>
    <row r="193" spans="1:7" x14ac:dyDescent="0.25">
      <c r="A193">
        <v>36009</v>
      </c>
      <c r="B193" t="s">
        <v>388</v>
      </c>
      <c r="C193" s="215">
        <v>6.5199999999999999E-5</v>
      </c>
      <c r="D193" s="6">
        <v>193169.59</v>
      </c>
      <c r="E193" s="213"/>
      <c r="G193" s="4"/>
    </row>
    <row r="194" spans="1:7" x14ac:dyDescent="0.25">
      <c r="A194">
        <v>36100</v>
      </c>
      <c r="B194" t="s">
        <v>389</v>
      </c>
      <c r="C194" s="215">
        <v>7.1210000000000002E-4</v>
      </c>
      <c r="D194" s="6">
        <v>2345807.6900000004</v>
      </c>
      <c r="E194" s="213"/>
      <c r="G194" s="4"/>
    </row>
    <row r="195" spans="1:7" x14ac:dyDescent="0.25">
      <c r="A195">
        <v>36105</v>
      </c>
      <c r="B195" t="s">
        <v>208</v>
      </c>
      <c r="C195" s="215">
        <v>2.9920000000000001E-4</v>
      </c>
      <c r="D195" s="6">
        <v>1105824.94</v>
      </c>
      <c r="E195" s="213"/>
      <c r="G195" s="4"/>
    </row>
    <row r="196" spans="1:7" ht="13.8" x14ac:dyDescent="0.25">
      <c r="A196">
        <v>36200</v>
      </c>
      <c r="B196" t="s">
        <v>390</v>
      </c>
      <c r="C196" s="215">
        <v>1.3354E-3</v>
      </c>
      <c r="D196" s="6">
        <v>4436655.71</v>
      </c>
      <c r="E196" s="236"/>
      <c r="F196" s="236"/>
      <c r="G196" s="4"/>
    </row>
    <row r="197" spans="1:7" ht="13.8" x14ac:dyDescent="0.25">
      <c r="A197">
        <v>36205</v>
      </c>
      <c r="B197" t="s">
        <v>211</v>
      </c>
      <c r="C197" s="215">
        <v>3.0660000000000003E-4</v>
      </c>
      <c r="D197" s="6">
        <v>995443.47000000009</v>
      </c>
      <c r="E197" s="236"/>
      <c r="F197" s="236"/>
      <c r="G197" s="4"/>
    </row>
    <row r="198" spans="1:7" ht="13.8" x14ac:dyDescent="0.25">
      <c r="A198">
        <v>36300</v>
      </c>
      <c r="B198" t="s">
        <v>391</v>
      </c>
      <c r="C198" s="215">
        <v>4.8757999999999996E-3</v>
      </c>
      <c r="D198" s="6">
        <v>15293324.370000001</v>
      </c>
      <c r="E198" s="236"/>
      <c r="F198" s="236"/>
      <c r="G198" s="4"/>
    </row>
    <row r="199" spans="1:7" ht="13.8" x14ac:dyDescent="0.25">
      <c r="A199">
        <v>36301</v>
      </c>
      <c r="B199" t="s">
        <v>392</v>
      </c>
      <c r="C199" s="215">
        <v>1.284E-4</v>
      </c>
      <c r="D199" s="6">
        <v>389099.28</v>
      </c>
      <c r="E199" s="236"/>
      <c r="F199" s="236"/>
      <c r="G199" s="4"/>
    </row>
    <row r="200" spans="1:7" ht="13.8" x14ac:dyDescent="0.25">
      <c r="A200">
        <v>36302</v>
      </c>
      <c r="B200" t="s">
        <v>393</v>
      </c>
      <c r="C200" s="215">
        <v>2.22E-4</v>
      </c>
      <c r="D200" s="6">
        <v>610419.09000000008</v>
      </c>
      <c r="E200" s="226"/>
      <c r="F200" s="226"/>
      <c r="G200" s="4"/>
    </row>
    <row r="201" spans="1:7" ht="13.8" x14ac:dyDescent="0.25">
      <c r="A201">
        <v>36303</v>
      </c>
      <c r="B201" t="s">
        <v>394</v>
      </c>
      <c r="C201" s="215">
        <v>2.9970000000000002E-4</v>
      </c>
      <c r="D201" s="6">
        <v>776565.89</v>
      </c>
      <c r="E201" s="236"/>
      <c r="F201" s="236"/>
      <c r="G201" s="4"/>
    </row>
    <row r="202" spans="1:7" ht="13.8" x14ac:dyDescent="0.25">
      <c r="A202">
        <v>36305</v>
      </c>
      <c r="B202" t="s">
        <v>223</v>
      </c>
      <c r="C202" s="215">
        <v>1.0399000000000001E-3</v>
      </c>
      <c r="D202" s="6">
        <v>3452271.51</v>
      </c>
      <c r="E202" s="236"/>
      <c r="F202" s="236"/>
      <c r="G202" s="4"/>
    </row>
    <row r="203" spans="1:7" ht="13.8" x14ac:dyDescent="0.25">
      <c r="A203">
        <v>36400</v>
      </c>
      <c r="B203" t="s">
        <v>395</v>
      </c>
      <c r="C203" s="215">
        <v>4.8767000000000003E-3</v>
      </c>
      <c r="D203" s="6">
        <v>15956842.440000001</v>
      </c>
      <c r="E203" s="236"/>
      <c r="F203" s="236"/>
      <c r="G203" s="4"/>
    </row>
    <row r="204" spans="1:7" ht="13.8" x14ac:dyDescent="0.25">
      <c r="A204">
        <v>36401</v>
      </c>
      <c r="B204" t="s">
        <v>570</v>
      </c>
      <c r="C204" s="215">
        <v>4.6300000000000001E-5</v>
      </c>
      <c r="D204" s="6">
        <v>152243.52000000002</v>
      </c>
      <c r="E204" s="236"/>
      <c r="F204" s="236"/>
      <c r="G204" s="4"/>
    </row>
    <row r="205" spans="1:7" ht="13.8" x14ac:dyDescent="0.25">
      <c r="A205">
        <v>36405</v>
      </c>
      <c r="B205" t="s">
        <v>396</v>
      </c>
      <c r="C205" s="215">
        <v>6.6040000000000001E-4</v>
      </c>
      <c r="D205" s="6">
        <v>2329438.61</v>
      </c>
      <c r="E205" s="236"/>
      <c r="F205" s="236"/>
      <c r="G205" s="4"/>
    </row>
    <row r="206" spans="1:7" ht="13.8" x14ac:dyDescent="0.25">
      <c r="A206">
        <v>36500</v>
      </c>
      <c r="B206" t="s">
        <v>397</v>
      </c>
      <c r="C206" s="215">
        <v>1.11404E-2</v>
      </c>
      <c r="D206" s="6">
        <v>34013610.869999997</v>
      </c>
      <c r="E206" s="236"/>
      <c r="F206" s="236"/>
      <c r="G206" s="4"/>
    </row>
    <row r="207" spans="1:7" ht="13.8" x14ac:dyDescent="0.25">
      <c r="A207">
        <v>36501</v>
      </c>
      <c r="B207" t="s">
        <v>398</v>
      </c>
      <c r="C207" s="215">
        <v>1.4880000000000001E-4</v>
      </c>
      <c r="D207" s="6">
        <v>418950.27999999997</v>
      </c>
      <c r="E207" s="236"/>
      <c r="F207" s="236"/>
      <c r="G207" s="4"/>
    </row>
    <row r="208" spans="1:7" ht="13.8" x14ac:dyDescent="0.25">
      <c r="A208">
        <v>36502</v>
      </c>
      <c r="B208" t="s">
        <v>399</v>
      </c>
      <c r="C208" s="215">
        <v>2.09E-5</v>
      </c>
      <c r="D208" s="6">
        <v>70221.040000000008</v>
      </c>
      <c r="E208" s="236"/>
      <c r="F208" s="236"/>
      <c r="G208" s="4"/>
    </row>
    <row r="209" spans="1:7" ht="13.8" x14ac:dyDescent="0.25">
      <c r="A209">
        <v>36505</v>
      </c>
      <c r="B209" t="s">
        <v>185</v>
      </c>
      <c r="C209" s="215">
        <v>2.1462E-3</v>
      </c>
      <c r="D209" s="6">
        <v>7074709.3399999989</v>
      </c>
      <c r="E209" s="236"/>
      <c r="F209" s="236"/>
      <c r="G209" s="4"/>
    </row>
    <row r="210" spans="1:7" ht="13.8" x14ac:dyDescent="0.25">
      <c r="A210">
        <v>36600</v>
      </c>
      <c r="B210" t="s">
        <v>400</v>
      </c>
      <c r="C210" s="215">
        <v>5.0699999999999996E-4</v>
      </c>
      <c r="D210" s="6">
        <v>1865094.27</v>
      </c>
      <c r="E210" s="236"/>
      <c r="F210" s="236"/>
      <c r="G210" s="4"/>
    </row>
    <row r="211" spans="1:7" ht="13.8" x14ac:dyDescent="0.25">
      <c r="A211">
        <v>36700</v>
      </c>
      <c r="B211" t="s">
        <v>401</v>
      </c>
      <c r="C211" s="215">
        <v>1.02944E-2</v>
      </c>
      <c r="D211" s="6">
        <v>30691200.969999999</v>
      </c>
      <c r="E211" s="236"/>
      <c r="F211" s="236"/>
      <c r="G211" s="4"/>
    </row>
    <row r="212" spans="1:7" ht="13.8" x14ac:dyDescent="0.25">
      <c r="A212">
        <v>36701</v>
      </c>
      <c r="B212" t="s">
        <v>402</v>
      </c>
      <c r="C212" s="215">
        <v>3.6699999999999998E-5</v>
      </c>
      <c r="D212" s="6">
        <v>92677.62000000001</v>
      </c>
      <c r="E212" s="236"/>
      <c r="F212" s="236"/>
      <c r="G212" s="4"/>
    </row>
    <row r="213" spans="1:7" ht="13.8" x14ac:dyDescent="0.25">
      <c r="A213">
        <v>36705</v>
      </c>
      <c r="B213" t="s">
        <v>191</v>
      </c>
      <c r="C213" s="215">
        <v>9.0289999999999999E-4</v>
      </c>
      <c r="D213" s="6">
        <v>2976333.56</v>
      </c>
      <c r="E213" s="236"/>
      <c r="F213" s="236"/>
      <c r="G213" s="4"/>
    </row>
    <row r="214" spans="1:7" ht="13.8" x14ac:dyDescent="0.25">
      <c r="A214">
        <v>36800</v>
      </c>
      <c r="B214" t="s">
        <v>403</v>
      </c>
      <c r="C214" s="215">
        <v>3.4486E-3</v>
      </c>
      <c r="D214" s="6">
        <v>10449953.160000002</v>
      </c>
      <c r="E214" s="236"/>
      <c r="F214" s="236"/>
      <c r="G214" s="4"/>
    </row>
    <row r="215" spans="1:7" ht="13.8" x14ac:dyDescent="0.25">
      <c r="A215">
        <v>36802</v>
      </c>
      <c r="B215" t="s">
        <v>404</v>
      </c>
      <c r="C215" s="215">
        <v>2.7030000000000001E-4</v>
      </c>
      <c r="D215" s="6">
        <v>773750.19</v>
      </c>
      <c r="E215" s="236"/>
      <c r="F215" s="236"/>
      <c r="G215" s="4"/>
    </row>
    <row r="216" spans="1:7" ht="13.8" x14ac:dyDescent="0.25">
      <c r="A216">
        <v>36810</v>
      </c>
      <c r="B216" t="s">
        <v>405</v>
      </c>
      <c r="C216" s="215">
        <v>6.7295999999999996E-3</v>
      </c>
      <c r="D216" s="6">
        <v>20568005.59</v>
      </c>
      <c r="E216" s="236"/>
      <c r="F216" s="236"/>
      <c r="G216" s="4"/>
    </row>
    <row r="217" spans="1:7" ht="13.8" x14ac:dyDescent="0.25">
      <c r="A217">
        <v>36900</v>
      </c>
      <c r="B217" t="s">
        <v>406</v>
      </c>
      <c r="C217" s="215">
        <v>6.4530000000000002E-4</v>
      </c>
      <c r="D217" s="6">
        <v>2112216.25</v>
      </c>
      <c r="E217" s="236"/>
      <c r="F217" s="236"/>
      <c r="G217" s="4"/>
    </row>
    <row r="218" spans="1:7" ht="13.8" x14ac:dyDescent="0.25">
      <c r="A218">
        <v>36901</v>
      </c>
      <c r="B218" t="s">
        <v>407</v>
      </c>
      <c r="C218" s="215">
        <v>2.2169999999999999E-4</v>
      </c>
      <c r="D218" s="6">
        <v>827971.13000000012</v>
      </c>
      <c r="E218" s="236"/>
      <c r="F218" s="236"/>
      <c r="G218" s="4"/>
    </row>
    <row r="219" spans="1:7" ht="13.8" x14ac:dyDescent="0.25">
      <c r="A219">
        <v>36905</v>
      </c>
      <c r="B219" t="s">
        <v>213</v>
      </c>
      <c r="C219" s="215">
        <v>1.7990000000000001E-4</v>
      </c>
      <c r="D219" s="6">
        <v>671685.99</v>
      </c>
      <c r="E219" s="236"/>
      <c r="F219" s="236"/>
      <c r="G219" s="4"/>
    </row>
    <row r="220" spans="1:7" x14ac:dyDescent="0.25">
      <c r="A220">
        <v>37000</v>
      </c>
      <c r="B220" t="s">
        <v>408</v>
      </c>
      <c r="C220" s="215">
        <v>1.8862E-3</v>
      </c>
      <c r="D220" s="6">
        <v>5898916.1600000001</v>
      </c>
      <c r="E220" s="237"/>
      <c r="G220" s="4"/>
    </row>
    <row r="221" spans="1:7" x14ac:dyDescent="0.25">
      <c r="A221">
        <v>37001</v>
      </c>
      <c r="B221" t="s">
        <v>409</v>
      </c>
      <c r="C221">
        <v>2.2440000000000001E-4</v>
      </c>
      <c r="D221" s="6">
        <v>680251.87999999989</v>
      </c>
      <c r="E221" s="237"/>
      <c r="G221" s="4"/>
    </row>
    <row r="222" spans="1:7" x14ac:dyDescent="0.25">
      <c r="A222">
        <v>37005</v>
      </c>
      <c r="B222" t="s">
        <v>192</v>
      </c>
      <c r="C222" s="215">
        <v>6.1109999999999995E-4</v>
      </c>
      <c r="D222" s="6">
        <v>2022956.49</v>
      </c>
      <c r="E222" s="237"/>
      <c r="G222" s="4"/>
    </row>
    <row r="223" spans="1:7" x14ac:dyDescent="0.25">
      <c r="A223">
        <v>37100</v>
      </c>
      <c r="B223" t="s">
        <v>410</v>
      </c>
      <c r="C223" s="215">
        <v>4.0761E-3</v>
      </c>
      <c r="D223" s="6">
        <v>12110691.289999999</v>
      </c>
      <c r="E223" s="237"/>
      <c r="G223" s="4"/>
    </row>
    <row r="224" spans="1:7" x14ac:dyDescent="0.25">
      <c r="A224">
        <v>37200</v>
      </c>
      <c r="B224" t="s">
        <v>411</v>
      </c>
      <c r="C224" s="215">
        <v>7.1779999999999999E-4</v>
      </c>
      <c r="D224" s="6">
        <v>2309731.31</v>
      </c>
      <c r="E224" s="213"/>
      <c r="G224" s="4"/>
    </row>
    <row r="225" spans="1:7" x14ac:dyDescent="0.25">
      <c r="A225">
        <v>37300</v>
      </c>
      <c r="B225" t="s">
        <v>412</v>
      </c>
      <c r="C225" s="215">
        <v>1.8181E-3</v>
      </c>
      <c r="D225" s="6">
        <v>5645205.0899999999</v>
      </c>
      <c r="E225" s="213"/>
      <c r="G225" s="4"/>
    </row>
    <row r="226" spans="1:7" x14ac:dyDescent="0.25">
      <c r="A226">
        <v>37301</v>
      </c>
      <c r="B226" t="s">
        <v>413</v>
      </c>
      <c r="C226" s="215">
        <v>1.9589999999999999E-4</v>
      </c>
      <c r="D226" s="6">
        <v>621683.35</v>
      </c>
      <c r="E226" s="213"/>
      <c r="G226" s="4"/>
    </row>
    <row r="227" spans="1:7" x14ac:dyDescent="0.25">
      <c r="A227">
        <v>37305</v>
      </c>
      <c r="B227" t="s">
        <v>214</v>
      </c>
      <c r="C227" s="215">
        <v>4.2349999999999999E-4</v>
      </c>
      <c r="D227" s="6">
        <v>1535365.19</v>
      </c>
      <c r="E227" s="213"/>
      <c r="G227" s="4"/>
    </row>
    <row r="228" spans="1:7" x14ac:dyDescent="0.25">
      <c r="A228">
        <v>37400</v>
      </c>
      <c r="B228" t="s">
        <v>414</v>
      </c>
      <c r="C228" s="215">
        <v>9.1290999999999994E-3</v>
      </c>
      <c r="D228" s="6">
        <v>27229842.890000001</v>
      </c>
      <c r="E228" s="213"/>
      <c r="G228" s="4"/>
    </row>
    <row r="229" spans="1:7" x14ac:dyDescent="0.25">
      <c r="A229">
        <v>37405</v>
      </c>
      <c r="B229" t="s">
        <v>215</v>
      </c>
      <c r="C229" s="215">
        <v>1.6341000000000001E-3</v>
      </c>
      <c r="D229" s="6">
        <v>5627435.2899999991</v>
      </c>
      <c r="E229" s="213"/>
      <c r="G229" s="4"/>
    </row>
    <row r="230" spans="1:7" x14ac:dyDescent="0.25">
      <c r="A230">
        <v>37500</v>
      </c>
      <c r="B230" t="s">
        <v>415</v>
      </c>
      <c r="C230" s="215">
        <v>1.0070999999999999E-3</v>
      </c>
      <c r="D230" s="6">
        <v>3305234.7699999996</v>
      </c>
      <c r="E230" s="213"/>
      <c r="G230" s="4"/>
    </row>
    <row r="231" spans="1:7" x14ac:dyDescent="0.25">
      <c r="A231">
        <v>37600</v>
      </c>
      <c r="B231" t="s">
        <v>416</v>
      </c>
      <c r="C231" s="215">
        <v>5.5808000000000003E-3</v>
      </c>
      <c r="D231" s="6">
        <v>17005604.640000001</v>
      </c>
      <c r="E231" s="213"/>
      <c r="G231" s="4"/>
    </row>
    <row r="232" spans="1:7" x14ac:dyDescent="0.25">
      <c r="A232">
        <v>37601</v>
      </c>
      <c r="B232" t="s">
        <v>417</v>
      </c>
      <c r="C232" s="215">
        <v>5.9610000000000002E-4</v>
      </c>
      <c r="D232" s="6">
        <v>1675400.3599999999</v>
      </c>
      <c r="E232" s="213"/>
      <c r="G232" s="4"/>
    </row>
    <row r="233" spans="1:7" x14ac:dyDescent="0.25">
      <c r="A233">
        <v>37605</v>
      </c>
      <c r="B233" t="s">
        <v>216</v>
      </c>
      <c r="C233" s="215">
        <v>6.7469999999999997E-4</v>
      </c>
      <c r="D233" s="6">
        <v>2293376.6999999997</v>
      </c>
      <c r="E233" s="213"/>
      <c r="G233" s="4"/>
    </row>
    <row r="234" spans="1:7" x14ac:dyDescent="0.25">
      <c r="A234">
        <v>37610</v>
      </c>
      <c r="B234" t="s">
        <v>418</v>
      </c>
      <c r="C234" s="215">
        <v>1.6818E-3</v>
      </c>
      <c r="D234" s="6">
        <v>5139356.3999999994</v>
      </c>
      <c r="E234" s="213"/>
      <c r="G234" s="4"/>
    </row>
    <row r="235" spans="1:7" x14ac:dyDescent="0.25">
      <c r="A235">
        <v>37700</v>
      </c>
      <c r="B235" t="s">
        <v>419</v>
      </c>
      <c r="C235" s="215">
        <v>2.5550999999999998E-3</v>
      </c>
      <c r="D235" s="6">
        <v>8225860.4000000004</v>
      </c>
      <c r="E235" s="213"/>
      <c r="G235" s="4"/>
    </row>
    <row r="236" spans="1:7" x14ac:dyDescent="0.25">
      <c r="A236">
        <v>37705</v>
      </c>
      <c r="B236" t="s">
        <v>217</v>
      </c>
      <c r="C236" s="215">
        <v>7.2090000000000001E-4</v>
      </c>
      <c r="D236" s="6">
        <v>2491233.86</v>
      </c>
      <c r="E236" s="213"/>
      <c r="G236" s="4"/>
    </row>
    <row r="237" spans="1:7" x14ac:dyDescent="0.25">
      <c r="A237">
        <v>37800</v>
      </c>
      <c r="B237" t="s">
        <v>420</v>
      </c>
      <c r="C237" s="215">
        <v>7.7898000000000004E-3</v>
      </c>
      <c r="D237" s="6">
        <v>24001493.239999998</v>
      </c>
      <c r="E237" s="213"/>
      <c r="G237" s="4"/>
    </row>
    <row r="238" spans="1:7" x14ac:dyDescent="0.25">
      <c r="A238">
        <v>37801</v>
      </c>
      <c r="B238" t="s">
        <v>421</v>
      </c>
      <c r="C238" s="215">
        <v>6.6600000000000006E-5</v>
      </c>
      <c r="D238" s="6">
        <v>158216.61000000002</v>
      </c>
      <c r="E238" s="213"/>
      <c r="G238" s="4"/>
    </row>
    <row r="239" spans="1:7" x14ac:dyDescent="0.25">
      <c r="A239">
        <v>37805</v>
      </c>
      <c r="B239" t="s">
        <v>219</v>
      </c>
      <c r="C239" s="215">
        <v>6.2679999999999995E-4</v>
      </c>
      <c r="D239" s="6">
        <v>2158085.3099999996</v>
      </c>
      <c r="E239" s="213"/>
      <c r="G239" s="4"/>
    </row>
    <row r="240" spans="1:7" x14ac:dyDescent="0.25">
      <c r="A240">
        <v>37900</v>
      </c>
      <c r="B240" t="s">
        <v>422</v>
      </c>
      <c r="C240" s="215">
        <v>4.1113E-3</v>
      </c>
      <c r="D240" s="6">
        <v>13381438.66</v>
      </c>
      <c r="E240" s="213"/>
      <c r="G240" s="4"/>
    </row>
    <row r="241" spans="1:7" x14ac:dyDescent="0.25">
      <c r="A241">
        <v>37901</v>
      </c>
      <c r="B241" t="s">
        <v>423</v>
      </c>
      <c r="C241" s="215">
        <v>1.7200000000000001E-4</v>
      </c>
      <c r="D241" s="6">
        <v>490538.87999999995</v>
      </c>
      <c r="E241" s="213"/>
      <c r="G241" s="4"/>
    </row>
    <row r="242" spans="1:7" x14ac:dyDescent="0.25">
      <c r="A242">
        <v>37905</v>
      </c>
      <c r="B242" t="s">
        <v>220</v>
      </c>
      <c r="C242" s="215">
        <v>4.3889999999999999E-4</v>
      </c>
      <c r="D242" s="6">
        <v>1538692.7299999997</v>
      </c>
      <c r="E242" s="213"/>
      <c r="G242" s="4"/>
    </row>
    <row r="243" spans="1:7" x14ac:dyDescent="0.25">
      <c r="A243">
        <v>38000</v>
      </c>
      <c r="B243" t="s">
        <v>424</v>
      </c>
      <c r="C243" s="215">
        <v>6.5025999999999999E-3</v>
      </c>
      <c r="D243" s="6">
        <v>19977929.170000002</v>
      </c>
      <c r="E243" s="213"/>
      <c r="G243" s="4"/>
    </row>
    <row r="244" spans="1:7" x14ac:dyDescent="0.25">
      <c r="A244">
        <v>38005</v>
      </c>
      <c r="B244" t="s">
        <v>221</v>
      </c>
      <c r="C244" s="215">
        <v>1.477E-3</v>
      </c>
      <c r="D244" s="6">
        <v>4816339.33</v>
      </c>
      <c r="E244" s="213"/>
      <c r="G244" s="4"/>
    </row>
    <row r="245" spans="1:7" x14ac:dyDescent="0.25">
      <c r="A245">
        <v>38100</v>
      </c>
      <c r="B245" t="s">
        <v>425</v>
      </c>
      <c r="C245" s="215">
        <v>2.9851999999999999E-3</v>
      </c>
      <c r="D245" s="6">
        <v>9641726.4500000048</v>
      </c>
      <c r="E245" s="213"/>
      <c r="G245" s="4"/>
    </row>
    <row r="246" spans="1:7" x14ac:dyDescent="0.25">
      <c r="A246">
        <v>38105</v>
      </c>
      <c r="B246" t="s">
        <v>203</v>
      </c>
      <c r="C246" s="215">
        <v>5.5619999999999997E-4</v>
      </c>
      <c r="D246" s="6">
        <v>1910108.8499999999</v>
      </c>
      <c r="E246" s="213"/>
      <c r="G246" s="4"/>
    </row>
    <row r="247" spans="1:7" x14ac:dyDescent="0.25">
      <c r="A247">
        <v>38200</v>
      </c>
      <c r="B247" t="s">
        <v>426</v>
      </c>
      <c r="C247" s="215">
        <v>2.8457000000000001E-3</v>
      </c>
      <c r="D247" s="6">
        <v>9438810.0799999982</v>
      </c>
      <c r="E247" s="213"/>
      <c r="G247" s="4"/>
    </row>
    <row r="248" spans="1:7" x14ac:dyDescent="0.25">
      <c r="A248">
        <v>38205</v>
      </c>
      <c r="B248" t="s">
        <v>222</v>
      </c>
      <c r="C248" s="215">
        <v>4.3659999999999999E-4</v>
      </c>
      <c r="D248" s="6">
        <v>1472561.79</v>
      </c>
      <c r="E248" s="213"/>
      <c r="G248" s="4"/>
    </row>
    <row r="249" spans="1:7" x14ac:dyDescent="0.25">
      <c r="A249">
        <v>38210</v>
      </c>
      <c r="B249" t="s">
        <v>427</v>
      </c>
      <c r="C249" s="215">
        <v>1.1068E-3</v>
      </c>
      <c r="D249" s="6">
        <v>3605452.8499999996</v>
      </c>
      <c r="E249" s="213"/>
      <c r="G249" s="4"/>
    </row>
    <row r="250" spans="1:7" ht="13.8" x14ac:dyDescent="0.25">
      <c r="A250">
        <v>38300</v>
      </c>
      <c r="B250" t="s">
        <v>428</v>
      </c>
      <c r="C250" s="215">
        <v>2.2333000000000001E-3</v>
      </c>
      <c r="D250" s="6">
        <v>7220568.9800000004</v>
      </c>
      <c r="E250" s="236"/>
      <c r="F250" s="236"/>
      <c r="G250" s="4"/>
    </row>
    <row r="251" spans="1:7" x14ac:dyDescent="0.25">
      <c r="A251">
        <v>38400</v>
      </c>
      <c r="B251" t="s">
        <v>429</v>
      </c>
      <c r="C251" s="215">
        <v>2.898E-3</v>
      </c>
      <c r="D251" s="6">
        <v>9445069.040000001</v>
      </c>
      <c r="G251" s="4"/>
    </row>
    <row r="252" spans="1:7" x14ac:dyDescent="0.25">
      <c r="A252">
        <v>38402</v>
      </c>
      <c r="B252" t="s">
        <v>430</v>
      </c>
      <c r="C252" s="215">
        <v>2.076E-4</v>
      </c>
      <c r="D252" s="6">
        <v>639079.85000000009</v>
      </c>
      <c r="G252" s="4"/>
    </row>
    <row r="253" spans="1:7" x14ac:dyDescent="0.25">
      <c r="A253">
        <v>38405</v>
      </c>
      <c r="B253" t="s">
        <v>227</v>
      </c>
      <c r="C253" s="215">
        <v>6.7949999999999998E-4</v>
      </c>
      <c r="D253" s="6">
        <v>2184652.419999999</v>
      </c>
      <c r="G253" s="4"/>
    </row>
    <row r="254" spans="1:7" x14ac:dyDescent="0.25">
      <c r="A254">
        <v>38500</v>
      </c>
      <c r="B254" t="s">
        <v>431</v>
      </c>
      <c r="C254" s="215">
        <v>2.1469000000000002E-3</v>
      </c>
      <c r="D254" s="6">
        <v>7266662.3200000003</v>
      </c>
      <c r="G254" s="4"/>
    </row>
    <row r="255" spans="1:7" x14ac:dyDescent="0.25">
      <c r="A255">
        <v>38600</v>
      </c>
      <c r="B255" t="s">
        <v>432</v>
      </c>
      <c r="C255" s="215">
        <v>2.6754000000000001E-3</v>
      </c>
      <c r="D255" s="6">
        <v>8890162.4700000007</v>
      </c>
      <c r="G255" s="4"/>
    </row>
    <row r="256" spans="1:7" x14ac:dyDescent="0.25">
      <c r="A256">
        <v>38602</v>
      </c>
      <c r="B256" t="s">
        <v>433</v>
      </c>
      <c r="C256" s="215">
        <v>1.9660000000000001E-4</v>
      </c>
      <c r="D256" s="6">
        <v>549446.47</v>
      </c>
      <c r="G256" s="4"/>
    </row>
    <row r="257" spans="1:7" x14ac:dyDescent="0.25">
      <c r="A257">
        <v>38605</v>
      </c>
      <c r="B257" t="s">
        <v>228</v>
      </c>
      <c r="C257" s="215">
        <v>7.4030000000000005E-4</v>
      </c>
      <c r="D257" s="6">
        <v>2335359.83</v>
      </c>
      <c r="G257" s="4"/>
    </row>
    <row r="258" spans="1:7" x14ac:dyDescent="0.25">
      <c r="A258">
        <v>38610</v>
      </c>
      <c r="B258" t="s">
        <v>434</v>
      </c>
      <c r="C258" s="215">
        <v>7.0350000000000002E-4</v>
      </c>
      <c r="D258" s="6">
        <v>2268520.0799999996</v>
      </c>
      <c r="G258" s="4"/>
    </row>
    <row r="259" spans="1:7" x14ac:dyDescent="0.25">
      <c r="A259">
        <v>38620</v>
      </c>
      <c r="B259" t="s">
        <v>435</v>
      </c>
      <c r="C259" s="215">
        <v>4.773E-4</v>
      </c>
      <c r="D259" s="6">
        <v>1580295.88</v>
      </c>
      <c r="G259" s="4"/>
    </row>
    <row r="260" spans="1:7" x14ac:dyDescent="0.25">
      <c r="A260">
        <v>38700</v>
      </c>
      <c r="B260" t="s">
        <v>436</v>
      </c>
      <c r="C260" s="215">
        <v>8.6050000000000005E-4</v>
      </c>
      <c r="D260" s="6">
        <v>2648782.33</v>
      </c>
      <c r="G260" s="4"/>
    </row>
    <row r="261" spans="1:7" x14ac:dyDescent="0.25">
      <c r="A261">
        <v>38701</v>
      </c>
      <c r="B261" t="s">
        <v>437</v>
      </c>
      <c r="C261" s="215">
        <v>7.9499999999999994E-5</v>
      </c>
      <c r="D261" s="6">
        <v>203937.56000000003</v>
      </c>
      <c r="G261" s="4"/>
    </row>
    <row r="262" spans="1:7" x14ac:dyDescent="0.25">
      <c r="A262">
        <v>38800</v>
      </c>
      <c r="B262" t="s">
        <v>438</v>
      </c>
      <c r="C262" s="215">
        <v>1.5106E-3</v>
      </c>
      <c r="D262" s="6">
        <v>4646756.8399999989</v>
      </c>
      <c r="G262" s="4"/>
    </row>
    <row r="263" spans="1:7" x14ac:dyDescent="0.25">
      <c r="A263">
        <v>38801</v>
      </c>
      <c r="B263" t="s">
        <v>439</v>
      </c>
      <c r="C263" s="215">
        <v>1.5689999999999999E-4</v>
      </c>
      <c r="D263" s="6">
        <v>414577.95999999996</v>
      </c>
      <c r="G263" s="4"/>
    </row>
    <row r="264" spans="1:7" x14ac:dyDescent="0.25">
      <c r="A264">
        <v>38900</v>
      </c>
      <c r="B264" t="s">
        <v>440</v>
      </c>
      <c r="C264" s="215">
        <v>2.9730000000000002E-4</v>
      </c>
      <c r="D264" s="6">
        <v>1001020.5800000001</v>
      </c>
      <c r="G264" s="4"/>
    </row>
    <row r="265" spans="1:7" x14ac:dyDescent="0.25">
      <c r="A265">
        <v>39000</v>
      </c>
      <c r="B265" t="s">
        <v>441</v>
      </c>
      <c r="C265" s="215">
        <v>1.46754E-2</v>
      </c>
      <c r="D265" s="6">
        <v>45869553.969999999</v>
      </c>
      <c r="G265" s="4"/>
    </row>
    <row r="266" spans="1:7" x14ac:dyDescent="0.25">
      <c r="A266">
        <v>39100</v>
      </c>
      <c r="B266" t="s">
        <v>442</v>
      </c>
      <c r="C266" s="215">
        <v>1.8527000000000001E-3</v>
      </c>
      <c r="D266" s="6">
        <v>6154628.2999999998</v>
      </c>
      <c r="G266" s="4"/>
    </row>
    <row r="267" spans="1:7" x14ac:dyDescent="0.25">
      <c r="A267">
        <v>39101</v>
      </c>
      <c r="B267" t="s">
        <v>443</v>
      </c>
      <c r="C267" s="215">
        <v>2.765E-4</v>
      </c>
      <c r="D267" s="6">
        <v>915555.09</v>
      </c>
      <c r="G267" s="4"/>
    </row>
    <row r="268" spans="1:7" x14ac:dyDescent="0.25">
      <c r="A268">
        <v>39105</v>
      </c>
      <c r="B268" t="s">
        <v>230</v>
      </c>
      <c r="C268" s="215">
        <v>7.3550000000000004E-4</v>
      </c>
      <c r="D268" s="6">
        <v>2417478.5499999998</v>
      </c>
      <c r="G268" s="4"/>
    </row>
    <row r="269" spans="1:7" x14ac:dyDescent="0.25">
      <c r="A269">
        <v>39200</v>
      </c>
      <c r="B269" t="s">
        <v>444</v>
      </c>
      <c r="C269" s="215">
        <v>6.7241599999999999E-2</v>
      </c>
      <c r="D269" s="6">
        <v>207841892.91000003</v>
      </c>
      <c r="G269" s="4"/>
    </row>
    <row r="270" spans="1:7" x14ac:dyDescent="0.25">
      <c r="A270">
        <v>39201</v>
      </c>
      <c r="B270" t="s">
        <v>445</v>
      </c>
      <c r="C270" s="215">
        <v>2.8420000000000002E-4</v>
      </c>
      <c r="D270" s="6">
        <v>748001.0199999999</v>
      </c>
      <c r="G270" s="4"/>
    </row>
    <row r="271" spans="1:7" x14ac:dyDescent="0.25">
      <c r="A271">
        <v>39204</v>
      </c>
      <c r="B271" t="s">
        <v>446</v>
      </c>
      <c r="C271" s="215">
        <v>2.1880000000000001E-4</v>
      </c>
      <c r="D271" s="6">
        <v>553659.01000000013</v>
      </c>
      <c r="G271" s="4"/>
    </row>
    <row r="272" spans="1:7" x14ac:dyDescent="0.25">
      <c r="A272">
        <v>39205</v>
      </c>
      <c r="B272" t="s">
        <v>231</v>
      </c>
      <c r="C272" s="215">
        <v>5.9125000000000002E-3</v>
      </c>
      <c r="D272" s="6">
        <v>19298183.769999992</v>
      </c>
      <c r="G272" s="4"/>
    </row>
    <row r="273" spans="1:7" x14ac:dyDescent="0.25">
      <c r="A273">
        <v>39208</v>
      </c>
      <c r="B273" t="s">
        <v>447</v>
      </c>
      <c r="C273" s="215">
        <v>4.1980000000000001E-4</v>
      </c>
      <c r="D273" s="6">
        <v>1150005.1899999997</v>
      </c>
      <c r="G273" s="4"/>
    </row>
    <row r="274" spans="1:7" x14ac:dyDescent="0.25">
      <c r="A274">
        <v>39300</v>
      </c>
      <c r="B274" t="s">
        <v>450</v>
      </c>
      <c r="C274" s="215">
        <v>7.8390000000000003E-4</v>
      </c>
      <c r="D274" s="6">
        <v>2631125.5400000005</v>
      </c>
      <c r="G274" s="4"/>
    </row>
    <row r="275" spans="1:7" x14ac:dyDescent="0.25">
      <c r="A275">
        <v>39301</v>
      </c>
      <c r="B275" t="s">
        <v>451</v>
      </c>
      <c r="C275" s="215">
        <v>5.7800000000000002E-5</v>
      </c>
      <c r="D275" s="6">
        <v>166308.53</v>
      </c>
      <c r="G275" s="4"/>
    </row>
    <row r="276" spans="1:7" x14ac:dyDescent="0.25">
      <c r="A276">
        <v>39400</v>
      </c>
      <c r="B276" t="s">
        <v>452</v>
      </c>
      <c r="C276" s="215">
        <v>4.5019999999999999E-4</v>
      </c>
      <c r="D276" s="6">
        <v>1519554.3699999999</v>
      </c>
      <c r="G276" s="4"/>
    </row>
    <row r="277" spans="1:7" x14ac:dyDescent="0.25">
      <c r="A277">
        <v>39401</v>
      </c>
      <c r="B277" t="s">
        <v>453</v>
      </c>
      <c r="C277" s="215">
        <v>5.6780000000000003E-4</v>
      </c>
      <c r="D277" s="6">
        <v>1444264.5</v>
      </c>
      <c r="G277" s="4"/>
    </row>
    <row r="278" spans="1:7" x14ac:dyDescent="0.25">
      <c r="A278">
        <v>39500</v>
      </c>
      <c r="B278" t="s">
        <v>454</v>
      </c>
      <c r="C278" s="215">
        <v>2.1860999999999998E-3</v>
      </c>
      <c r="D278" s="6">
        <v>6438264.3500000006</v>
      </c>
      <c r="G278" s="4"/>
    </row>
    <row r="279" spans="1:7" x14ac:dyDescent="0.25">
      <c r="A279">
        <v>39501</v>
      </c>
      <c r="B279" t="s">
        <v>455</v>
      </c>
      <c r="C279" s="215">
        <v>5.0500000000000001E-5</v>
      </c>
      <c r="D279" s="6">
        <v>149679.64000000001</v>
      </c>
      <c r="G279" s="4"/>
    </row>
    <row r="280" spans="1:7" x14ac:dyDescent="0.25">
      <c r="A280">
        <v>39600</v>
      </c>
      <c r="B280" t="s">
        <v>456</v>
      </c>
      <c r="C280" s="215">
        <v>5.6487000000000004E-3</v>
      </c>
      <c r="D280" s="6">
        <v>18757506.739999998</v>
      </c>
      <c r="G280" s="4"/>
    </row>
    <row r="281" spans="1:7" x14ac:dyDescent="0.25">
      <c r="A281">
        <v>39605</v>
      </c>
      <c r="B281" t="s">
        <v>232</v>
      </c>
      <c r="C281" s="215">
        <v>8.072E-4</v>
      </c>
      <c r="D281" s="6">
        <v>2672094.7200000002</v>
      </c>
      <c r="G281" s="4"/>
    </row>
    <row r="282" spans="1:7" x14ac:dyDescent="0.25">
      <c r="A282">
        <v>39700</v>
      </c>
      <c r="B282" t="s">
        <v>457</v>
      </c>
      <c r="C282" s="215">
        <v>3.2981999999999998E-3</v>
      </c>
      <c r="D282" s="6">
        <v>10389815.340000002</v>
      </c>
      <c r="G282" s="4"/>
    </row>
    <row r="283" spans="1:7" x14ac:dyDescent="0.25">
      <c r="A283">
        <v>39703</v>
      </c>
      <c r="B283" t="s">
        <v>458</v>
      </c>
      <c r="C283" s="215">
        <v>2.6469999999999998E-4</v>
      </c>
      <c r="D283" s="6">
        <v>743465.50999999989</v>
      </c>
      <c r="G283" s="4"/>
    </row>
    <row r="284" spans="1:7" x14ac:dyDescent="0.25">
      <c r="A284">
        <v>39705</v>
      </c>
      <c r="B284" t="s">
        <v>234</v>
      </c>
      <c r="C284" s="215">
        <v>8.7390000000000005E-4</v>
      </c>
      <c r="D284" s="6">
        <v>2729218.1399999997</v>
      </c>
      <c r="G284" s="4"/>
    </row>
    <row r="285" spans="1:7" x14ac:dyDescent="0.25">
      <c r="A285">
        <v>39800</v>
      </c>
      <c r="B285" t="s">
        <v>459</v>
      </c>
      <c r="C285" s="215">
        <v>3.6036000000000002E-3</v>
      </c>
      <c r="D285" s="6">
        <v>11784868.280000001</v>
      </c>
      <c r="G285" s="4"/>
    </row>
    <row r="286" spans="1:7" x14ac:dyDescent="0.25">
      <c r="A286">
        <v>39805</v>
      </c>
      <c r="B286" t="s">
        <v>235</v>
      </c>
      <c r="C286" s="215">
        <v>4.5459999999999999E-4</v>
      </c>
      <c r="D286" s="6">
        <v>1492313.98</v>
      </c>
      <c r="G286" s="4"/>
    </row>
    <row r="287" spans="1:7" x14ac:dyDescent="0.25">
      <c r="A287">
        <v>39900</v>
      </c>
      <c r="B287" t="s">
        <v>460</v>
      </c>
      <c r="C287" s="215">
        <v>2.0119999999999999E-3</v>
      </c>
      <c r="D287" s="6">
        <v>6694775.8899999997</v>
      </c>
      <c r="G287" s="4"/>
    </row>
    <row r="288" spans="1:7" x14ac:dyDescent="0.25">
      <c r="A288">
        <v>51000</v>
      </c>
      <c r="B288" t="s">
        <v>461</v>
      </c>
      <c r="C288" s="215">
        <v>2.89349E-2</v>
      </c>
      <c r="D288" s="6">
        <v>110639368</v>
      </c>
      <c r="E288" s="170">
        <v>110639368</v>
      </c>
      <c r="F288" s="2" t="s">
        <v>576</v>
      </c>
      <c r="G288" s="4"/>
    </row>
    <row r="289" spans="1:6" x14ac:dyDescent="0.25">
      <c r="A289" s="136">
        <v>51000.2</v>
      </c>
      <c r="B289" s="136" t="s">
        <v>462</v>
      </c>
      <c r="C289" s="215">
        <v>5.0399999999999999E-5</v>
      </c>
      <c r="D289" s="156">
        <v>233747</v>
      </c>
      <c r="E289" s="238">
        <v>233747</v>
      </c>
      <c r="F289" s="2" t="s">
        <v>577</v>
      </c>
    </row>
    <row r="290" spans="1:6" x14ac:dyDescent="0.25">
      <c r="A290" s="136">
        <v>51000.3</v>
      </c>
      <c r="B290" s="136" t="s">
        <v>463</v>
      </c>
      <c r="C290" s="215">
        <v>1.0651E-3</v>
      </c>
      <c r="D290" s="156">
        <v>3376790</v>
      </c>
      <c r="E290" s="238">
        <v>3376790</v>
      </c>
      <c r="F290" s="2" t="s">
        <v>578</v>
      </c>
    </row>
    <row r="291" spans="1:6" x14ac:dyDescent="0.25">
      <c r="C291" s="215"/>
      <c r="E291" s="238">
        <f>SUM(E288:E290)</f>
        <v>114249905</v>
      </c>
      <c r="F291" s="2" t="s">
        <v>539</v>
      </c>
    </row>
    <row r="292" spans="1:6" x14ac:dyDescent="0.25">
      <c r="C292" s="215"/>
      <c r="D292" s="245"/>
    </row>
    <row r="293" spans="1:6" x14ac:dyDescent="0.25">
      <c r="A293" t="s">
        <v>580</v>
      </c>
      <c r="D293"/>
      <c r="F293" s="247"/>
    </row>
    <row r="294" spans="1:6" x14ac:dyDescent="0.25">
      <c r="A294">
        <v>36601</v>
      </c>
      <c r="B294" t="s">
        <v>503</v>
      </c>
      <c r="C294" s="247"/>
      <c r="D294" s="247">
        <v>879444</v>
      </c>
    </row>
    <row r="295" spans="1:6" x14ac:dyDescent="0.25">
      <c r="A295">
        <v>38601</v>
      </c>
      <c r="B295" t="s">
        <v>505</v>
      </c>
      <c r="C295" s="247"/>
      <c r="D295" s="247">
        <v>422806.98</v>
      </c>
    </row>
    <row r="296" spans="1:6" x14ac:dyDescent="0.25">
      <c r="A296" s="2"/>
      <c r="C296" s="5"/>
    </row>
    <row r="297" spans="1:6" x14ac:dyDescent="0.25">
      <c r="C297" s="187"/>
    </row>
    <row r="298" spans="1:6" x14ac:dyDescent="0.25">
      <c r="C298" s="187"/>
      <c r="D298" s="245">
        <v>3218363598</v>
      </c>
    </row>
    <row r="299" spans="1:6" x14ac:dyDescent="0.25">
      <c r="C299" s="189">
        <f>SUM(C3:C298)</f>
        <v>1.0000000000000004</v>
      </c>
      <c r="D299" s="246">
        <f>SUM(D3:D297)</f>
        <v>3218363598.9600015</v>
      </c>
    </row>
    <row r="300" spans="1:6" x14ac:dyDescent="0.25">
      <c r="C300" s="187"/>
      <c r="D300" s="245"/>
    </row>
    <row r="301" spans="1:6" x14ac:dyDescent="0.25">
      <c r="C301" s="187"/>
      <c r="D301" s="245">
        <f>D298-D299</f>
        <v>-0.96000146865844727</v>
      </c>
    </row>
    <row r="302" spans="1:6" ht="14.4" x14ac:dyDescent="0.3">
      <c r="B302" s="190" t="s">
        <v>464</v>
      </c>
      <c r="C302" s="187"/>
      <c r="D302" s="245"/>
    </row>
    <row r="303" spans="1:6" x14ac:dyDescent="0.25">
      <c r="A303" s="186"/>
      <c r="B303" s="157"/>
      <c r="C303" s="187"/>
      <c r="D303" s="245"/>
    </row>
    <row r="304" spans="1:6" x14ac:dyDescent="0.25">
      <c r="A304" s="186"/>
      <c r="B304" s="157"/>
      <c r="C304" s="187"/>
      <c r="D304" s="245"/>
    </row>
    <row r="305" spans="1:4" x14ac:dyDescent="0.25">
      <c r="A305" s="186"/>
      <c r="B305" s="157"/>
      <c r="C305" s="187"/>
      <c r="D305" s="245"/>
    </row>
    <row r="306" spans="1:4" x14ac:dyDescent="0.25">
      <c r="A306" s="186"/>
      <c r="B306" s="157"/>
      <c r="C306" s="187"/>
      <c r="D306" s="245"/>
    </row>
    <row r="307" spans="1:4" x14ac:dyDescent="0.25">
      <c r="A307" s="186"/>
      <c r="B307" s="157"/>
      <c r="C307" s="187"/>
      <c r="D307" s="245"/>
    </row>
    <row r="308" spans="1:4" x14ac:dyDescent="0.25">
      <c r="A308" s="186"/>
      <c r="B308" s="157"/>
      <c r="C308" s="187"/>
      <c r="D308" s="245"/>
    </row>
    <row r="309" spans="1:4" x14ac:dyDescent="0.25">
      <c r="A309" s="186"/>
      <c r="B309" s="157"/>
      <c r="C309" s="187"/>
      <c r="D309" s="245"/>
    </row>
    <row r="310" spans="1:4" x14ac:dyDescent="0.25">
      <c r="A310" s="186"/>
      <c r="B310" s="157"/>
      <c r="C310" s="187"/>
      <c r="D310" s="245"/>
    </row>
    <row r="312" spans="1:4" x14ac:dyDescent="0.25">
      <c r="C312" s="5"/>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O306"/>
  <sheetViews>
    <sheetView workbookViewId="0">
      <pane xSplit="2" ySplit="3" topLeftCell="C265" activePane="bottomRight" state="frozen"/>
      <selection pane="topRight" activeCell="A4" sqref="A4"/>
      <selection pane="bottomLeft" activeCell="A4" sqref="A4"/>
      <selection pane="bottomRight" activeCell="C40" sqref="C40"/>
    </sheetView>
  </sheetViews>
  <sheetFormatPr defaultRowHeight="13.2" x14ac:dyDescent="0.25"/>
  <cols>
    <col min="1" max="1" width="15.33203125" customWidth="1"/>
    <col min="2" max="2" width="71.77734375" bestFit="1" customWidth="1"/>
    <col min="3" max="3" width="22" bestFit="1" customWidth="1"/>
    <col min="4" max="4" width="18.33203125" customWidth="1"/>
    <col min="5" max="5" width="20" customWidth="1"/>
    <col min="6" max="6" width="14.44140625" customWidth="1"/>
    <col min="7" max="7" width="19.44140625" customWidth="1"/>
    <col min="8" max="8" width="18.33203125" customWidth="1"/>
    <col min="9" max="9" width="20" customWidth="1"/>
    <col min="10" max="10" width="14.44140625" customWidth="1"/>
    <col min="11" max="11" width="19.44140625" customWidth="1"/>
    <col min="12" max="12" width="15" bestFit="1" customWidth="1"/>
    <col min="13" max="13" width="22.44140625" customWidth="1"/>
    <col min="14" max="14" width="15" bestFit="1" customWidth="1"/>
    <col min="15" max="15" width="12.44140625" bestFit="1" customWidth="1"/>
  </cols>
  <sheetData>
    <row r="1" spans="1:15" x14ac:dyDescent="0.25">
      <c r="A1" s="200">
        <v>1</v>
      </c>
      <c r="B1" s="200">
        <v>2</v>
      </c>
      <c r="C1" s="200">
        <v>3</v>
      </c>
      <c r="D1" s="200">
        <v>4</v>
      </c>
      <c r="E1" s="200">
        <v>5</v>
      </c>
      <c r="F1" s="200">
        <v>6</v>
      </c>
      <c r="G1" s="200">
        <v>7</v>
      </c>
      <c r="H1" s="200">
        <v>8</v>
      </c>
      <c r="I1" s="200">
        <v>9</v>
      </c>
      <c r="J1" s="200">
        <v>10</v>
      </c>
      <c r="K1" s="200">
        <v>11</v>
      </c>
      <c r="L1" s="200">
        <v>12</v>
      </c>
      <c r="M1" s="200">
        <v>13</v>
      </c>
      <c r="N1" s="200">
        <v>14</v>
      </c>
    </row>
    <row r="2" spans="1:15" ht="14.4" x14ac:dyDescent="0.3">
      <c r="D2" s="124" t="s">
        <v>465</v>
      </c>
      <c r="E2" s="125"/>
      <c r="F2" s="125"/>
      <c r="G2" s="126"/>
      <c r="H2" s="125" t="s">
        <v>466</v>
      </c>
      <c r="I2" s="125"/>
      <c r="J2" s="125"/>
      <c r="K2" s="126"/>
      <c r="L2" s="124" t="s">
        <v>98</v>
      </c>
      <c r="M2" s="125"/>
      <c r="N2" s="126"/>
    </row>
    <row r="3" spans="1:15" ht="115.2" x14ac:dyDescent="0.3">
      <c r="A3" s="46" t="s">
        <v>245</v>
      </c>
      <c r="B3" s="46" t="s">
        <v>467</v>
      </c>
      <c r="C3" s="46" t="s">
        <v>141</v>
      </c>
      <c r="D3" s="46" t="s">
        <v>145</v>
      </c>
      <c r="E3" s="46" t="s">
        <v>146</v>
      </c>
      <c r="F3" s="46" t="s">
        <v>147</v>
      </c>
      <c r="G3" s="46" t="s">
        <v>148</v>
      </c>
      <c r="H3" s="46" t="s">
        <v>145</v>
      </c>
      <c r="I3" s="46" t="s">
        <v>146</v>
      </c>
      <c r="J3" s="46" t="s">
        <v>147</v>
      </c>
      <c r="K3" s="46" t="s">
        <v>148</v>
      </c>
      <c r="L3" s="46" t="s">
        <v>149</v>
      </c>
      <c r="M3" s="46" t="s">
        <v>150</v>
      </c>
      <c r="N3" s="46" t="s">
        <v>151</v>
      </c>
      <c r="O3" s="46" t="s">
        <v>547</v>
      </c>
    </row>
    <row r="4" spans="1:15" ht="13.8" x14ac:dyDescent="0.25">
      <c r="A4" s="191">
        <v>10200</v>
      </c>
      <c r="B4" s="192" t="s">
        <v>249</v>
      </c>
      <c r="C4" s="229">
        <v>19872129</v>
      </c>
      <c r="D4" s="229">
        <v>1790824</v>
      </c>
      <c r="E4" s="229">
        <v>3276820</v>
      </c>
      <c r="F4" s="229"/>
      <c r="G4" s="229">
        <v>1045320</v>
      </c>
      <c r="H4" s="229">
        <v>58745</v>
      </c>
      <c r="K4" s="229">
        <v>189782</v>
      </c>
      <c r="L4" s="229">
        <v>5489727</v>
      </c>
      <c r="M4" s="229">
        <v>623274</v>
      </c>
      <c r="N4" s="229">
        <f>L4+M4</f>
        <v>6113001</v>
      </c>
      <c r="O4" s="235">
        <f>SUM(H4:K4)</f>
        <v>248527</v>
      </c>
    </row>
    <row r="5" spans="1:15" ht="13.8" x14ac:dyDescent="0.25">
      <c r="A5" s="191">
        <v>10400</v>
      </c>
      <c r="B5" s="192" t="s">
        <v>250</v>
      </c>
      <c r="C5" s="229">
        <v>50258172</v>
      </c>
      <c r="D5" s="229">
        <v>4529134</v>
      </c>
      <c r="E5" s="229">
        <v>8287334</v>
      </c>
      <c r="F5" s="229"/>
      <c r="G5" s="229">
        <v>93991</v>
      </c>
      <c r="H5" s="229">
        <v>148570</v>
      </c>
      <c r="K5" s="229">
        <v>286746</v>
      </c>
      <c r="L5" s="229">
        <v>13883951</v>
      </c>
      <c r="M5" s="229">
        <v>332003</v>
      </c>
      <c r="N5" s="229">
        <f t="shared" ref="N5:N68" si="0">L5+M5</f>
        <v>14215954</v>
      </c>
      <c r="O5" s="235">
        <f t="shared" ref="O5:O68" si="1">SUM(H5:K5)</f>
        <v>435316</v>
      </c>
    </row>
    <row r="6" spans="1:15" ht="13.8" x14ac:dyDescent="0.25">
      <c r="A6" s="191">
        <v>10500</v>
      </c>
      <c r="B6" s="192" t="s">
        <v>468</v>
      </c>
      <c r="C6" s="229">
        <v>11392544</v>
      </c>
      <c r="D6" s="229">
        <v>1026666</v>
      </c>
      <c r="E6" s="229">
        <v>1878576</v>
      </c>
      <c r="F6" s="229"/>
      <c r="G6" s="229">
        <v>62746</v>
      </c>
      <c r="H6" s="229">
        <v>33678</v>
      </c>
      <c r="K6" s="229">
        <v>318551</v>
      </c>
      <c r="L6" s="229">
        <v>3147220</v>
      </c>
      <c r="M6" s="229">
        <v>10439</v>
      </c>
      <c r="N6" s="229">
        <f t="shared" si="0"/>
        <v>3157659</v>
      </c>
      <c r="O6" s="235">
        <f t="shared" si="1"/>
        <v>352229</v>
      </c>
    </row>
    <row r="7" spans="1:15" ht="13.8" x14ac:dyDescent="0.25">
      <c r="A7" s="191">
        <v>10700</v>
      </c>
      <c r="B7" s="192" t="s">
        <v>252</v>
      </c>
      <c r="C7" s="229">
        <v>78301698</v>
      </c>
      <c r="D7" s="229">
        <v>7056343</v>
      </c>
      <c r="E7" s="229">
        <v>12911579</v>
      </c>
      <c r="F7" s="229"/>
      <c r="G7" s="229">
        <v>1497079</v>
      </c>
      <c r="H7" s="229">
        <v>231470</v>
      </c>
      <c r="K7" s="229">
        <v>85795</v>
      </c>
      <c r="L7" s="229">
        <v>21631049</v>
      </c>
      <c r="M7" s="229">
        <v>1094229</v>
      </c>
      <c r="N7" s="229">
        <f t="shared" si="0"/>
        <v>22725278</v>
      </c>
      <c r="O7" s="235">
        <f t="shared" si="1"/>
        <v>317265</v>
      </c>
    </row>
    <row r="8" spans="1:15" ht="13.8" x14ac:dyDescent="0.25">
      <c r="A8" s="191">
        <v>10800</v>
      </c>
      <c r="B8" s="192" t="s">
        <v>253</v>
      </c>
      <c r="C8" s="229">
        <v>337009786</v>
      </c>
      <c r="D8" s="229">
        <v>30370434</v>
      </c>
      <c r="E8" s="229">
        <v>55571317</v>
      </c>
      <c r="F8" s="229"/>
      <c r="G8" s="229">
        <v>15558631</v>
      </c>
      <c r="H8" s="229">
        <v>996244</v>
      </c>
      <c r="K8" s="229">
        <v>0</v>
      </c>
      <c r="L8" s="229">
        <v>93099834</v>
      </c>
      <c r="M8" s="229">
        <v>10887909</v>
      </c>
      <c r="N8" s="229">
        <f t="shared" si="0"/>
        <v>103987743</v>
      </c>
      <c r="O8" s="235">
        <f t="shared" si="1"/>
        <v>996244</v>
      </c>
    </row>
    <row r="9" spans="1:15" ht="13.8" x14ac:dyDescent="0.25">
      <c r="A9" s="191">
        <v>10850</v>
      </c>
      <c r="B9" s="192" t="s">
        <v>572</v>
      </c>
      <c r="C9" s="229">
        <v>2985561</v>
      </c>
      <c r="D9" s="229">
        <v>269051</v>
      </c>
      <c r="E9" s="229">
        <v>492305</v>
      </c>
      <c r="F9" s="229"/>
      <c r="G9" s="229">
        <v>413858</v>
      </c>
      <c r="H9" s="229">
        <v>8826</v>
      </c>
      <c r="K9" s="229">
        <v>1612</v>
      </c>
      <c r="L9" s="229">
        <v>824769</v>
      </c>
      <c r="M9" s="229">
        <v>257813</v>
      </c>
      <c r="N9" s="229">
        <f t="shared" si="0"/>
        <v>1082582</v>
      </c>
      <c r="O9" s="235">
        <f t="shared" si="1"/>
        <v>10438</v>
      </c>
    </row>
    <row r="10" spans="1:15" ht="13.8" x14ac:dyDescent="0.25">
      <c r="A10" s="226">
        <v>10900</v>
      </c>
      <c r="B10" s="227" t="s">
        <v>255</v>
      </c>
      <c r="C10" s="230">
        <v>28062788</v>
      </c>
      <c r="D10" s="230">
        <v>2528945</v>
      </c>
      <c r="E10" s="230">
        <v>4627421</v>
      </c>
      <c r="F10" s="230"/>
      <c r="G10" s="230">
        <v>2204904</v>
      </c>
      <c r="H10" s="230">
        <v>82957</v>
      </c>
      <c r="K10" s="230">
        <v>0</v>
      </c>
      <c r="L10" s="230">
        <v>7752419</v>
      </c>
      <c r="M10" s="230">
        <v>1759065</v>
      </c>
      <c r="N10" s="229">
        <f t="shared" si="0"/>
        <v>9511484</v>
      </c>
      <c r="O10" s="235">
        <f t="shared" si="1"/>
        <v>82957</v>
      </c>
    </row>
    <row r="11" spans="1:15" ht="13.8" x14ac:dyDescent="0.25">
      <c r="A11" s="226">
        <v>10910</v>
      </c>
      <c r="B11" s="228" t="s">
        <v>469</v>
      </c>
      <c r="C11" s="230">
        <v>9479711</v>
      </c>
      <c r="D11" s="230">
        <v>854287</v>
      </c>
      <c r="E11" s="233">
        <v>1563159</v>
      </c>
      <c r="F11" s="230"/>
      <c r="G11" s="230">
        <v>676713</v>
      </c>
      <c r="H11" s="230">
        <v>28023</v>
      </c>
      <c r="K11" s="230">
        <v>0</v>
      </c>
      <c r="L11" s="230">
        <v>2618795</v>
      </c>
      <c r="M11" s="230">
        <v>647956</v>
      </c>
      <c r="N11" s="229">
        <f t="shared" si="0"/>
        <v>3266751</v>
      </c>
      <c r="O11" s="235">
        <f t="shared" si="1"/>
        <v>28023</v>
      </c>
    </row>
    <row r="12" spans="1:15" ht="13.8" x14ac:dyDescent="0.25">
      <c r="A12" s="226">
        <v>10930</v>
      </c>
      <c r="B12" s="228" t="s">
        <v>470</v>
      </c>
      <c r="C12" s="230">
        <v>88517798</v>
      </c>
      <c r="D12" s="230">
        <v>7976991</v>
      </c>
      <c r="E12" s="230">
        <v>14596165</v>
      </c>
      <c r="F12" s="230"/>
      <c r="G12" s="230">
        <v>5730656</v>
      </c>
      <c r="H12" s="230">
        <v>261670</v>
      </c>
      <c r="K12" s="230">
        <v>0</v>
      </c>
      <c r="L12" s="230">
        <v>24453273</v>
      </c>
      <c r="M12" s="230">
        <v>4583581</v>
      </c>
      <c r="N12" s="229">
        <f t="shared" si="0"/>
        <v>29036854</v>
      </c>
      <c r="O12" s="235">
        <f t="shared" si="1"/>
        <v>261670</v>
      </c>
    </row>
    <row r="13" spans="1:15" ht="13.8" x14ac:dyDescent="0.25">
      <c r="A13" s="226">
        <v>10940</v>
      </c>
      <c r="B13" s="227" t="s">
        <v>258</v>
      </c>
      <c r="C13" s="230">
        <v>12423785</v>
      </c>
      <c r="D13" s="230">
        <v>1119599</v>
      </c>
      <c r="E13" s="230">
        <v>2048623</v>
      </c>
      <c r="F13" s="230"/>
      <c r="G13" s="230">
        <v>1138517</v>
      </c>
      <c r="H13" s="230">
        <v>36726</v>
      </c>
      <c r="K13" s="230">
        <v>0</v>
      </c>
      <c r="L13" s="230">
        <v>3432103</v>
      </c>
      <c r="M13" s="230">
        <v>786900</v>
      </c>
      <c r="N13" s="229">
        <f t="shared" si="0"/>
        <v>4219003</v>
      </c>
      <c r="O13" s="235">
        <f t="shared" si="1"/>
        <v>36726</v>
      </c>
    </row>
    <row r="14" spans="1:15" ht="13.8" x14ac:dyDescent="0.25">
      <c r="A14" s="226">
        <v>10950</v>
      </c>
      <c r="B14" s="228" t="s">
        <v>471</v>
      </c>
      <c r="C14" s="230">
        <v>15579737</v>
      </c>
      <c r="D14" s="230">
        <v>1404005</v>
      </c>
      <c r="E14" s="230">
        <v>2569025</v>
      </c>
      <c r="F14" s="230"/>
      <c r="G14" s="230">
        <v>1934183</v>
      </c>
      <c r="H14" s="230">
        <v>46056</v>
      </c>
      <c r="K14" s="230">
        <v>0</v>
      </c>
      <c r="L14" s="230">
        <v>4303943</v>
      </c>
      <c r="M14" s="230">
        <v>1051665</v>
      </c>
      <c r="N14" s="229">
        <f t="shared" si="0"/>
        <v>5355608</v>
      </c>
      <c r="O14" s="235">
        <f t="shared" si="1"/>
        <v>46056</v>
      </c>
    </row>
    <row r="15" spans="1:15" ht="13.8" x14ac:dyDescent="0.25">
      <c r="A15" s="226">
        <v>11000</v>
      </c>
      <c r="B15" s="228" t="s">
        <v>571</v>
      </c>
      <c r="C15" s="230">
        <v>0</v>
      </c>
      <c r="D15" s="230">
        <v>0</v>
      </c>
      <c r="E15" s="230">
        <v>0</v>
      </c>
      <c r="F15" s="230"/>
      <c r="G15" s="230">
        <v>880312</v>
      </c>
      <c r="H15" s="230" t="s">
        <v>575</v>
      </c>
      <c r="K15" s="230">
        <v>0</v>
      </c>
      <c r="L15" s="230">
        <v>0</v>
      </c>
      <c r="M15" s="230">
        <v>440156</v>
      </c>
      <c r="N15" s="229">
        <f t="shared" si="0"/>
        <v>440156</v>
      </c>
      <c r="O15" s="235">
        <f t="shared" si="1"/>
        <v>0</v>
      </c>
    </row>
    <row r="16" spans="1:15" ht="13.8" x14ac:dyDescent="0.25">
      <c r="A16" s="191">
        <v>11050</v>
      </c>
      <c r="B16" s="192" t="s">
        <v>472</v>
      </c>
      <c r="C16" s="229">
        <v>4400553</v>
      </c>
      <c r="D16" s="229">
        <v>396566</v>
      </c>
      <c r="E16" s="229">
        <v>725630</v>
      </c>
      <c r="F16" s="229"/>
      <c r="G16" s="229">
        <v>412816</v>
      </c>
      <c r="H16" s="229">
        <v>13009</v>
      </c>
      <c r="K16" s="229">
        <v>28333</v>
      </c>
      <c r="L16" s="229">
        <v>1215664</v>
      </c>
      <c r="M16" s="229">
        <v>254751</v>
      </c>
      <c r="N16" s="229">
        <f t="shared" si="0"/>
        <v>1470415</v>
      </c>
      <c r="O16" s="235">
        <f t="shared" si="1"/>
        <v>41342</v>
      </c>
    </row>
    <row r="17" spans="1:15" ht="13.8" x14ac:dyDescent="0.25">
      <c r="A17" s="191">
        <v>11300</v>
      </c>
      <c r="B17" s="192" t="s">
        <v>473</v>
      </c>
      <c r="C17" s="229">
        <v>79024752</v>
      </c>
      <c r="D17" s="229">
        <v>7121503</v>
      </c>
      <c r="E17" s="229">
        <v>13030807</v>
      </c>
      <c r="F17" s="229"/>
      <c r="G17" s="229">
        <v>6217921</v>
      </c>
      <c r="H17" s="229">
        <v>233607</v>
      </c>
      <c r="K17" s="229">
        <v>0</v>
      </c>
      <c r="L17" s="229">
        <v>21830794</v>
      </c>
      <c r="M17" s="229">
        <v>3987033</v>
      </c>
      <c r="N17" s="229">
        <f t="shared" si="0"/>
        <v>25817827</v>
      </c>
      <c r="O17" s="235">
        <f t="shared" si="1"/>
        <v>233607</v>
      </c>
    </row>
    <row r="18" spans="1:15" ht="13.8" x14ac:dyDescent="0.25">
      <c r="A18" s="191">
        <v>11310</v>
      </c>
      <c r="B18" s="192" t="s">
        <v>474</v>
      </c>
      <c r="C18" s="229">
        <v>8827777</v>
      </c>
      <c r="D18" s="229">
        <v>795536</v>
      </c>
      <c r="E18" s="229">
        <v>1455659</v>
      </c>
      <c r="F18" s="229"/>
      <c r="G18" s="229">
        <v>344603</v>
      </c>
      <c r="H18" s="229">
        <v>26096</v>
      </c>
      <c r="K18" s="229">
        <v>0</v>
      </c>
      <c r="L18" s="229">
        <v>2438696</v>
      </c>
      <c r="M18" s="229">
        <v>262102</v>
      </c>
      <c r="N18" s="229">
        <f t="shared" si="0"/>
        <v>2700798</v>
      </c>
      <c r="O18" s="235">
        <f t="shared" si="1"/>
        <v>26096</v>
      </c>
    </row>
    <row r="19" spans="1:15" ht="13.8" x14ac:dyDescent="0.25">
      <c r="A19" s="191">
        <v>11600</v>
      </c>
      <c r="B19" s="192" t="s">
        <v>261</v>
      </c>
      <c r="C19" s="229">
        <v>36222333</v>
      </c>
      <c r="D19" s="229">
        <v>3264261</v>
      </c>
      <c r="E19" s="229">
        <v>5972891</v>
      </c>
      <c r="F19" s="229"/>
      <c r="G19" s="229">
        <v>22368</v>
      </c>
      <c r="H19" s="229">
        <v>107078</v>
      </c>
      <c r="K19" s="229">
        <v>595569</v>
      </c>
      <c r="L19" s="229">
        <v>10006514</v>
      </c>
      <c r="M19" s="229">
        <v>-275977</v>
      </c>
      <c r="N19" s="229">
        <f t="shared" si="0"/>
        <v>9730537</v>
      </c>
      <c r="O19" s="235">
        <f t="shared" si="1"/>
        <v>702647</v>
      </c>
    </row>
    <row r="20" spans="1:15" ht="13.8" x14ac:dyDescent="0.25">
      <c r="A20" s="191">
        <v>11900</v>
      </c>
      <c r="B20" s="192" t="s">
        <v>262</v>
      </c>
      <c r="C20" s="229">
        <v>4768007</v>
      </c>
      <c r="D20" s="229">
        <v>429680</v>
      </c>
      <c r="E20" s="229">
        <v>786222</v>
      </c>
      <c r="F20" s="229"/>
      <c r="G20" s="229">
        <v>54519</v>
      </c>
      <c r="H20" s="229">
        <v>14095</v>
      </c>
      <c r="K20" s="229">
        <v>729290</v>
      </c>
      <c r="L20" s="229">
        <v>1317174</v>
      </c>
      <c r="M20" s="229">
        <v>16592</v>
      </c>
      <c r="N20" s="229">
        <f t="shared" si="0"/>
        <v>1333766</v>
      </c>
      <c r="O20" s="235">
        <f t="shared" si="1"/>
        <v>743385</v>
      </c>
    </row>
    <row r="21" spans="1:15" ht="13.8" x14ac:dyDescent="0.25">
      <c r="A21" s="191">
        <v>12100</v>
      </c>
      <c r="B21" s="192" t="s">
        <v>475</v>
      </c>
      <c r="C21" s="229">
        <v>4922100</v>
      </c>
      <c r="D21" s="229">
        <v>443567</v>
      </c>
      <c r="E21" s="229">
        <v>811631</v>
      </c>
      <c r="F21" s="229"/>
      <c r="G21" s="229">
        <v>224728</v>
      </c>
      <c r="H21" s="229">
        <v>14550</v>
      </c>
      <c r="K21" s="229">
        <v>0</v>
      </c>
      <c r="L21" s="229">
        <v>1359743</v>
      </c>
      <c r="M21" s="229">
        <v>182541</v>
      </c>
      <c r="N21" s="229">
        <f t="shared" si="0"/>
        <v>1542284</v>
      </c>
      <c r="O21" s="235">
        <f t="shared" si="1"/>
        <v>14550</v>
      </c>
    </row>
    <row r="22" spans="1:15" ht="13.8" x14ac:dyDescent="0.25">
      <c r="A22" s="226">
        <v>12150</v>
      </c>
      <c r="B22" s="227" t="s">
        <v>476</v>
      </c>
      <c r="C22" s="230">
        <v>782321</v>
      </c>
      <c r="D22" s="230">
        <v>70501</v>
      </c>
      <c r="E22" s="230">
        <v>129001</v>
      </c>
      <c r="F22" s="230"/>
      <c r="G22" s="230">
        <v>49410</v>
      </c>
      <c r="H22" s="230">
        <v>2313</v>
      </c>
      <c r="K22" s="230">
        <v>0</v>
      </c>
      <c r="L22" s="230">
        <v>216118</v>
      </c>
      <c r="M22" s="230">
        <v>29835</v>
      </c>
      <c r="N22" s="229">
        <f t="shared" si="0"/>
        <v>245953</v>
      </c>
      <c r="O22" s="235">
        <f t="shared" si="1"/>
        <v>2313</v>
      </c>
    </row>
    <row r="23" spans="1:15" ht="13.8" x14ac:dyDescent="0.25">
      <c r="A23" s="226">
        <v>12160</v>
      </c>
      <c r="B23" s="228" t="s">
        <v>265</v>
      </c>
      <c r="C23" s="230">
        <v>30031925</v>
      </c>
      <c r="D23" s="230">
        <v>2706398</v>
      </c>
      <c r="E23" s="230">
        <v>4952122</v>
      </c>
      <c r="F23" s="230"/>
      <c r="G23" s="230">
        <v>890941</v>
      </c>
      <c r="H23" s="230">
        <v>88778</v>
      </c>
      <c r="K23" s="230">
        <v>0</v>
      </c>
      <c r="L23" s="230">
        <v>8296398</v>
      </c>
      <c r="M23" s="230">
        <v>843336</v>
      </c>
      <c r="N23" s="229">
        <f t="shared" si="0"/>
        <v>9139734</v>
      </c>
      <c r="O23" s="235">
        <f t="shared" si="1"/>
        <v>88778</v>
      </c>
    </row>
    <row r="24" spans="1:15" ht="13.8" x14ac:dyDescent="0.25">
      <c r="A24" s="226">
        <v>12220</v>
      </c>
      <c r="B24" s="227" t="s">
        <v>477</v>
      </c>
      <c r="C24" s="230">
        <v>672684590</v>
      </c>
      <c r="D24" s="230">
        <v>60620564</v>
      </c>
      <c r="E24" s="230">
        <v>110922502</v>
      </c>
      <c r="F24" s="230"/>
      <c r="G24" s="230">
        <v>7619515</v>
      </c>
      <c r="H24" s="230">
        <v>1988542</v>
      </c>
      <c r="K24" s="230">
        <v>17846487</v>
      </c>
      <c r="L24" s="230">
        <v>185830875</v>
      </c>
      <c r="M24" s="230">
        <v>4551006</v>
      </c>
      <c r="N24" s="229">
        <f t="shared" si="0"/>
        <v>190381881</v>
      </c>
      <c r="O24" s="235">
        <f t="shared" si="1"/>
        <v>19835029</v>
      </c>
    </row>
    <row r="25" spans="1:15" ht="13.8" x14ac:dyDescent="0.25">
      <c r="A25" s="226">
        <v>12510</v>
      </c>
      <c r="B25" s="228" t="s">
        <v>267</v>
      </c>
      <c r="C25" s="230">
        <v>63482057</v>
      </c>
      <c r="D25" s="230">
        <v>5720836</v>
      </c>
      <c r="E25" s="230">
        <v>10467890</v>
      </c>
      <c r="F25" s="230"/>
      <c r="G25" s="230">
        <v>1489667</v>
      </c>
      <c r="H25" s="230">
        <v>187661</v>
      </c>
      <c r="K25" s="230">
        <v>2365438</v>
      </c>
      <c r="L25" s="230">
        <v>17537084</v>
      </c>
      <c r="M25" s="230">
        <v>2166717</v>
      </c>
      <c r="N25" s="229">
        <f t="shared" si="0"/>
        <v>19703801</v>
      </c>
      <c r="O25" s="235">
        <f t="shared" si="1"/>
        <v>2553099</v>
      </c>
    </row>
    <row r="26" spans="1:15" ht="13.8" x14ac:dyDescent="0.25">
      <c r="A26" s="226">
        <v>12600</v>
      </c>
      <c r="B26" s="228" t="s">
        <v>478</v>
      </c>
      <c r="C26" s="230">
        <v>29865978</v>
      </c>
      <c r="D26" s="230">
        <v>2691443</v>
      </c>
      <c r="E26" s="230">
        <v>4924758</v>
      </c>
      <c r="F26" s="230"/>
      <c r="G26" s="230">
        <v>1578260</v>
      </c>
      <c r="H26" s="230">
        <v>88288</v>
      </c>
      <c r="K26" s="230">
        <v>0</v>
      </c>
      <c r="L26" s="230">
        <v>8250554</v>
      </c>
      <c r="M26" s="230">
        <v>1039211</v>
      </c>
      <c r="N26" s="229">
        <f t="shared" si="0"/>
        <v>9289765</v>
      </c>
      <c r="O26" s="235">
        <f t="shared" si="1"/>
        <v>88288</v>
      </c>
    </row>
    <row r="27" spans="1:15" ht="13.8" x14ac:dyDescent="0.25">
      <c r="A27" s="226">
        <v>12700</v>
      </c>
      <c r="B27" s="228" t="s">
        <v>479</v>
      </c>
      <c r="C27" s="230">
        <v>16058316</v>
      </c>
      <c r="D27" s="230">
        <v>1447133</v>
      </c>
      <c r="E27" s="230">
        <v>2647940</v>
      </c>
      <c r="F27" s="230"/>
      <c r="G27" s="230">
        <v>771384</v>
      </c>
      <c r="H27" s="230">
        <v>47470</v>
      </c>
      <c r="K27" s="230">
        <v>0</v>
      </c>
      <c r="L27" s="230">
        <v>4436152</v>
      </c>
      <c r="M27" s="230">
        <v>576438</v>
      </c>
      <c r="N27" s="229">
        <f t="shared" si="0"/>
        <v>5012590</v>
      </c>
      <c r="O27" s="235">
        <f t="shared" si="1"/>
        <v>47470</v>
      </c>
    </row>
    <row r="28" spans="1:15" ht="13.8" x14ac:dyDescent="0.25">
      <c r="A28" s="191">
        <v>13500</v>
      </c>
      <c r="B28" s="192" t="s">
        <v>480</v>
      </c>
      <c r="C28" s="229">
        <v>64934091</v>
      </c>
      <c r="D28" s="229">
        <v>5851689</v>
      </c>
      <c r="E28" s="229">
        <v>10707324</v>
      </c>
      <c r="F28" s="229"/>
      <c r="G28" s="229">
        <v>900908</v>
      </c>
      <c r="H28" s="229">
        <v>191954</v>
      </c>
      <c r="K28" s="229">
        <v>0</v>
      </c>
      <c r="L28" s="229">
        <v>17938212</v>
      </c>
      <c r="M28" s="229">
        <v>991647</v>
      </c>
      <c r="N28" s="229">
        <f t="shared" si="0"/>
        <v>18929859</v>
      </c>
      <c r="O28" s="235">
        <f t="shared" si="1"/>
        <v>191954</v>
      </c>
    </row>
    <row r="29" spans="1:15" ht="13.8" x14ac:dyDescent="0.25">
      <c r="A29" s="191">
        <v>13700</v>
      </c>
      <c r="B29" s="192" t="s">
        <v>481</v>
      </c>
      <c r="C29" s="229">
        <v>7755049</v>
      </c>
      <c r="D29" s="229">
        <v>698865</v>
      </c>
      <c r="E29" s="229">
        <v>1278771</v>
      </c>
      <c r="F29" s="229"/>
      <c r="G29" s="229">
        <v>661057</v>
      </c>
      <c r="H29" s="229">
        <v>22925</v>
      </c>
      <c r="K29" s="229">
        <v>38895</v>
      </c>
      <c r="L29" s="229">
        <v>2142353</v>
      </c>
      <c r="M29" s="229">
        <v>366502</v>
      </c>
      <c r="N29" s="229">
        <f t="shared" si="0"/>
        <v>2508855</v>
      </c>
      <c r="O29" s="235">
        <f t="shared" si="1"/>
        <v>61820</v>
      </c>
    </row>
    <row r="30" spans="1:15" ht="13.8" x14ac:dyDescent="0.25">
      <c r="A30" s="191">
        <v>14300</v>
      </c>
      <c r="B30" s="192" t="s">
        <v>482</v>
      </c>
      <c r="C30" s="229">
        <v>24708292</v>
      </c>
      <c r="D30" s="229">
        <v>2226646</v>
      </c>
      <c r="E30" s="229">
        <v>4074280</v>
      </c>
      <c r="F30" s="229"/>
      <c r="G30" s="229">
        <v>923491</v>
      </c>
      <c r="H30" s="229">
        <v>73041</v>
      </c>
      <c r="K30" s="229">
        <v>53669</v>
      </c>
      <c r="L30" s="229">
        <v>6825730</v>
      </c>
      <c r="M30" s="229">
        <v>727168</v>
      </c>
      <c r="N30" s="229">
        <f t="shared" si="0"/>
        <v>7552898</v>
      </c>
      <c r="O30" s="235">
        <f t="shared" si="1"/>
        <v>126710</v>
      </c>
    </row>
    <row r="31" spans="1:15" ht="13.8" x14ac:dyDescent="0.25">
      <c r="A31" s="191">
        <v>14300.2</v>
      </c>
      <c r="B31" s="192" t="s">
        <v>483</v>
      </c>
      <c r="C31" s="229">
        <v>2592919</v>
      </c>
      <c r="D31" s="229">
        <v>233667</v>
      </c>
      <c r="E31" s="229">
        <v>427560</v>
      </c>
      <c r="F31" s="229"/>
      <c r="G31" s="229">
        <v>7940</v>
      </c>
      <c r="H31" s="229">
        <v>7665</v>
      </c>
      <c r="K31" s="229">
        <v>152255</v>
      </c>
      <c r="L31" s="229">
        <v>716301</v>
      </c>
      <c r="M31" s="229">
        <v>-110342</v>
      </c>
      <c r="N31" s="229">
        <f t="shared" si="0"/>
        <v>605959</v>
      </c>
      <c r="O31" s="235">
        <f t="shared" si="1"/>
        <v>159920</v>
      </c>
    </row>
    <row r="32" spans="1:15" ht="13.8" x14ac:dyDescent="0.25">
      <c r="A32" s="191">
        <v>18400</v>
      </c>
      <c r="B32" s="192" t="s">
        <v>484</v>
      </c>
      <c r="C32" s="229">
        <v>77497153</v>
      </c>
      <c r="D32" s="229">
        <v>6983839</v>
      </c>
      <c r="E32" s="229">
        <v>12778913</v>
      </c>
      <c r="F32" s="229"/>
      <c r="G32" s="229">
        <v>672194</v>
      </c>
      <c r="H32" s="229">
        <v>229092</v>
      </c>
      <c r="K32" s="229">
        <v>58010</v>
      </c>
      <c r="L32" s="229">
        <v>21408791</v>
      </c>
      <c r="M32" s="229">
        <v>598197</v>
      </c>
      <c r="N32" s="229">
        <f t="shared" si="0"/>
        <v>22006988</v>
      </c>
      <c r="O32" s="235">
        <f t="shared" si="1"/>
        <v>287102</v>
      </c>
    </row>
    <row r="33" spans="1:15" ht="13.8" x14ac:dyDescent="0.25">
      <c r="A33" s="191">
        <v>18600</v>
      </c>
      <c r="B33" s="192" t="s">
        <v>485</v>
      </c>
      <c r="C33" s="229">
        <v>219287</v>
      </c>
      <c r="D33" s="229">
        <v>19762</v>
      </c>
      <c r="E33" s="229">
        <v>36159</v>
      </c>
      <c r="F33" s="229"/>
      <c r="G33" s="229">
        <v>21367</v>
      </c>
      <c r="H33" s="229">
        <v>648</v>
      </c>
      <c r="K33" s="229">
        <v>10053</v>
      </c>
      <c r="L33" s="229">
        <v>60579</v>
      </c>
      <c r="M33" s="229">
        <v>12542</v>
      </c>
      <c r="N33" s="229">
        <f t="shared" si="0"/>
        <v>73121</v>
      </c>
      <c r="O33" s="235">
        <f t="shared" si="1"/>
        <v>10701</v>
      </c>
    </row>
    <row r="34" spans="1:15" ht="13.8" x14ac:dyDescent="0.25">
      <c r="A34" s="226">
        <v>18640</v>
      </c>
      <c r="B34" s="228" t="s">
        <v>276</v>
      </c>
      <c r="C34" s="230">
        <v>31115</v>
      </c>
      <c r="D34" s="230">
        <v>2804</v>
      </c>
      <c r="E34" s="230">
        <v>5131</v>
      </c>
      <c r="F34" s="230"/>
      <c r="G34" s="230">
        <v>715</v>
      </c>
      <c r="H34" s="230">
        <v>92</v>
      </c>
      <c r="K34" s="230">
        <v>197</v>
      </c>
      <c r="L34" s="230">
        <v>8596</v>
      </c>
      <c r="M34" s="230">
        <v>1625</v>
      </c>
      <c r="N34" s="229">
        <f t="shared" si="0"/>
        <v>10221</v>
      </c>
      <c r="O34" s="235">
        <f t="shared" si="1"/>
        <v>289</v>
      </c>
    </row>
    <row r="35" spans="1:15" ht="13.8" x14ac:dyDescent="0.25">
      <c r="A35" s="226">
        <v>18740</v>
      </c>
      <c r="B35" s="228" t="s">
        <v>486</v>
      </c>
      <c r="C35" s="230">
        <v>80010</v>
      </c>
      <c r="D35" s="230">
        <v>7210</v>
      </c>
      <c r="E35" s="230">
        <v>13193</v>
      </c>
      <c r="F35" s="230"/>
      <c r="G35" s="230">
        <v>5008</v>
      </c>
      <c r="H35" s="230">
        <v>237</v>
      </c>
      <c r="K35" s="230">
        <v>0</v>
      </c>
      <c r="L35" s="230">
        <v>22103</v>
      </c>
      <c r="M35" s="230">
        <v>3755</v>
      </c>
      <c r="N35" s="229">
        <f t="shared" si="0"/>
        <v>25858</v>
      </c>
      <c r="O35" s="235">
        <f t="shared" si="1"/>
        <v>237</v>
      </c>
    </row>
    <row r="36" spans="1:15" ht="13.8" x14ac:dyDescent="0.25">
      <c r="A36" s="226">
        <v>18780</v>
      </c>
      <c r="B36" s="228" t="s">
        <v>543</v>
      </c>
      <c r="C36" s="230">
        <v>351155</v>
      </c>
      <c r="D36" s="230">
        <v>31645</v>
      </c>
      <c r="E36" s="230">
        <v>57904</v>
      </c>
      <c r="F36" s="230"/>
      <c r="G36" s="230">
        <v>4084</v>
      </c>
      <c r="H36" s="230">
        <v>1038</v>
      </c>
      <c r="K36" s="230">
        <v>35541</v>
      </c>
      <c r="L36" s="230">
        <v>97008</v>
      </c>
      <c r="M36" s="230">
        <v>-16078</v>
      </c>
      <c r="N36" s="229">
        <f t="shared" si="0"/>
        <v>80930</v>
      </c>
      <c r="O36" s="235">
        <f t="shared" si="1"/>
        <v>36579</v>
      </c>
    </row>
    <row r="37" spans="1:15" ht="13.8" x14ac:dyDescent="0.25">
      <c r="A37" s="226">
        <v>19005</v>
      </c>
      <c r="B37" s="227" t="s">
        <v>487</v>
      </c>
      <c r="C37" s="230">
        <v>15166352</v>
      </c>
      <c r="D37" s="230">
        <v>1366752</v>
      </c>
      <c r="E37" s="230">
        <v>2500860</v>
      </c>
      <c r="F37" s="230"/>
      <c r="G37" s="230">
        <v>1914649</v>
      </c>
      <c r="H37" s="230">
        <v>44834</v>
      </c>
      <c r="K37" s="230">
        <v>0</v>
      </c>
      <c r="L37" s="230">
        <v>4189744</v>
      </c>
      <c r="M37" s="230">
        <v>1168586</v>
      </c>
      <c r="N37" s="229">
        <f t="shared" si="0"/>
        <v>5358330</v>
      </c>
      <c r="O37" s="235">
        <f t="shared" si="1"/>
        <v>44834</v>
      </c>
    </row>
    <row r="38" spans="1:15" ht="13.8" x14ac:dyDescent="0.25">
      <c r="A38" s="226">
        <v>19100</v>
      </c>
      <c r="B38" s="227" t="s">
        <v>280</v>
      </c>
      <c r="C38" s="230">
        <v>301744611</v>
      </c>
      <c r="D38" s="230">
        <v>27192430</v>
      </c>
      <c r="E38" s="230">
        <v>49756257</v>
      </c>
      <c r="F38" s="230"/>
      <c r="G38" s="230">
        <v>3427452</v>
      </c>
      <c r="H38" s="230">
        <v>891996</v>
      </c>
      <c r="K38" s="230">
        <v>222849253</v>
      </c>
      <c r="L38" s="230">
        <v>83357737</v>
      </c>
      <c r="M38" s="230">
        <v>-101682912</v>
      </c>
      <c r="N38" s="229">
        <f t="shared" si="0"/>
        <v>-18325175</v>
      </c>
      <c r="O38" s="235">
        <f t="shared" si="1"/>
        <v>223741249</v>
      </c>
    </row>
    <row r="39" spans="1:15" ht="13.8" x14ac:dyDescent="0.25">
      <c r="A39" s="226">
        <v>19120</v>
      </c>
      <c r="B39" s="227" t="s">
        <v>544</v>
      </c>
      <c r="C39" s="230">
        <v>744223956</v>
      </c>
      <c r="D39" s="230">
        <v>67067503</v>
      </c>
      <c r="E39" s="230">
        <v>122719004</v>
      </c>
      <c r="F39" s="230"/>
      <c r="G39" s="230">
        <v>206920723</v>
      </c>
      <c r="H39" s="230">
        <v>2200021</v>
      </c>
      <c r="K39" s="230">
        <v>2260464</v>
      </c>
      <c r="L39" s="230">
        <v>205593812</v>
      </c>
      <c r="M39" s="230">
        <v>102330130</v>
      </c>
      <c r="N39" s="229">
        <f t="shared" si="0"/>
        <v>307923942</v>
      </c>
      <c r="O39" s="235">
        <f t="shared" si="1"/>
        <v>4460485</v>
      </c>
    </row>
    <row r="40" spans="1:15" ht="13.8" x14ac:dyDescent="0.25">
      <c r="A40" s="191">
        <v>20100</v>
      </c>
      <c r="B40" s="192" t="s">
        <v>161</v>
      </c>
      <c r="C40" s="229">
        <v>119508361</v>
      </c>
      <c r="D40" s="229">
        <v>10769779</v>
      </c>
      <c r="E40" s="229">
        <v>19706363</v>
      </c>
      <c r="F40" s="229"/>
      <c r="G40" s="229">
        <v>7079841</v>
      </c>
      <c r="H40" s="229">
        <v>353282</v>
      </c>
      <c r="K40" s="229">
        <v>188964</v>
      </c>
      <c r="L40" s="229">
        <v>33014497</v>
      </c>
      <c r="M40" s="229">
        <v>3218289</v>
      </c>
      <c r="N40" s="229">
        <f t="shared" si="0"/>
        <v>36232786</v>
      </c>
      <c r="O40" s="235">
        <f t="shared" si="1"/>
        <v>542246</v>
      </c>
    </row>
    <row r="41" spans="1:15" ht="13.8" x14ac:dyDescent="0.25">
      <c r="A41" s="191">
        <v>20200</v>
      </c>
      <c r="B41" s="192" t="s">
        <v>488</v>
      </c>
      <c r="C41" s="229">
        <v>15280440</v>
      </c>
      <c r="D41" s="229">
        <v>1377033</v>
      </c>
      <c r="E41" s="229">
        <v>2519672</v>
      </c>
      <c r="F41" s="229"/>
      <c r="G41" s="229">
        <v>607000</v>
      </c>
      <c r="H41" s="229">
        <v>45171</v>
      </c>
      <c r="K41" s="229">
        <v>0</v>
      </c>
      <c r="L41" s="229">
        <v>4221261</v>
      </c>
      <c r="M41" s="229">
        <v>403114</v>
      </c>
      <c r="N41" s="229">
        <f t="shared" si="0"/>
        <v>4624375</v>
      </c>
      <c r="O41" s="235">
        <f t="shared" si="1"/>
        <v>45171</v>
      </c>
    </row>
    <row r="42" spans="1:15" ht="13.8" x14ac:dyDescent="0.25">
      <c r="A42" s="191">
        <v>20300</v>
      </c>
      <c r="B42" s="192" t="s">
        <v>162</v>
      </c>
      <c r="C42" s="229">
        <v>202212095</v>
      </c>
      <c r="D42" s="229">
        <v>18222821</v>
      </c>
      <c r="E42" s="229">
        <v>33343816</v>
      </c>
      <c r="F42" s="229"/>
      <c r="G42" s="229">
        <v>5641859</v>
      </c>
      <c r="H42" s="229">
        <v>597765</v>
      </c>
      <c r="K42" s="229">
        <v>1623479</v>
      </c>
      <c r="L42" s="229">
        <v>55861619</v>
      </c>
      <c r="M42" s="229">
        <v>64551</v>
      </c>
      <c r="N42" s="229">
        <f t="shared" si="0"/>
        <v>55926170</v>
      </c>
      <c r="O42" s="235">
        <f t="shared" si="1"/>
        <v>2221244</v>
      </c>
    </row>
    <row r="43" spans="1:15" ht="13.8" x14ac:dyDescent="0.25">
      <c r="A43" s="191">
        <v>20400</v>
      </c>
      <c r="B43" s="192" t="s">
        <v>163</v>
      </c>
      <c r="C43" s="229">
        <v>17268838</v>
      </c>
      <c r="D43" s="229">
        <v>1556222</v>
      </c>
      <c r="E43" s="229">
        <v>2847550</v>
      </c>
      <c r="F43" s="229"/>
      <c r="G43" s="229">
        <v>924807</v>
      </c>
      <c r="H43" s="229">
        <v>51049</v>
      </c>
      <c r="K43" s="229">
        <v>0</v>
      </c>
      <c r="L43" s="229">
        <v>4770562</v>
      </c>
      <c r="M43" s="229">
        <v>564514</v>
      </c>
      <c r="N43" s="229">
        <f t="shared" si="0"/>
        <v>5335076</v>
      </c>
      <c r="O43" s="235">
        <f t="shared" si="1"/>
        <v>51049</v>
      </c>
    </row>
    <row r="44" spans="1:15" ht="13.8" x14ac:dyDescent="0.25">
      <c r="A44" s="191">
        <v>20600</v>
      </c>
      <c r="B44" s="192" t="s">
        <v>3</v>
      </c>
      <c r="C44" s="229">
        <v>36041569</v>
      </c>
      <c r="D44" s="229">
        <v>3247971</v>
      </c>
      <c r="E44" s="229">
        <v>5943084</v>
      </c>
      <c r="F44" s="229"/>
      <c r="G44" s="229">
        <v>3372954</v>
      </c>
      <c r="H44" s="229">
        <v>106544</v>
      </c>
      <c r="K44" s="229">
        <v>0</v>
      </c>
      <c r="L44" s="229">
        <v>9956578</v>
      </c>
      <c r="M44" s="229">
        <v>1669356</v>
      </c>
      <c r="N44" s="229">
        <f t="shared" si="0"/>
        <v>11625934</v>
      </c>
      <c r="O44" s="235">
        <f t="shared" si="1"/>
        <v>106544</v>
      </c>
    </row>
    <row r="45" spans="1:15" ht="13.8" x14ac:dyDescent="0.25">
      <c r="A45" s="191">
        <v>20700</v>
      </c>
      <c r="B45" s="192" t="s">
        <v>489</v>
      </c>
      <c r="C45" s="229">
        <v>63883589</v>
      </c>
      <c r="D45" s="229">
        <v>5757021</v>
      </c>
      <c r="E45" s="229">
        <v>10534101</v>
      </c>
      <c r="F45" s="229"/>
      <c r="G45" s="229">
        <v>2846276</v>
      </c>
      <c r="H45" s="229">
        <v>188848</v>
      </c>
      <c r="K45" s="229">
        <v>335457</v>
      </c>
      <c r="L45" s="229">
        <v>17648008</v>
      </c>
      <c r="M45" s="229">
        <v>1331868</v>
      </c>
      <c r="N45" s="229">
        <f t="shared" si="0"/>
        <v>18979876</v>
      </c>
      <c r="O45" s="235">
        <f t="shared" si="1"/>
        <v>524305</v>
      </c>
    </row>
    <row r="46" spans="1:15" ht="13.8" x14ac:dyDescent="0.25">
      <c r="A46" s="226">
        <v>20800</v>
      </c>
      <c r="B46" s="227" t="s">
        <v>490</v>
      </c>
      <c r="C46" s="230">
        <v>47530421</v>
      </c>
      <c r="D46" s="230">
        <v>4283316</v>
      </c>
      <c r="E46" s="230">
        <v>7837541</v>
      </c>
      <c r="F46" s="230"/>
      <c r="G46" s="230">
        <v>1030881</v>
      </c>
      <c r="H46" s="230">
        <v>140506</v>
      </c>
      <c r="K46" s="230">
        <v>311084</v>
      </c>
      <c r="L46" s="230">
        <v>13130403</v>
      </c>
      <c r="M46" s="230">
        <v>437126</v>
      </c>
      <c r="N46" s="229">
        <f t="shared" si="0"/>
        <v>13567529</v>
      </c>
      <c r="O46" s="235">
        <f t="shared" si="1"/>
        <v>451590</v>
      </c>
    </row>
    <row r="47" spans="1:15" ht="13.8" x14ac:dyDescent="0.25">
      <c r="A47" s="226">
        <v>20900</v>
      </c>
      <c r="B47" s="228" t="s">
        <v>174</v>
      </c>
      <c r="C47" s="230">
        <v>72625429</v>
      </c>
      <c r="D47" s="230">
        <v>6544812</v>
      </c>
      <c r="E47" s="230">
        <v>11975589</v>
      </c>
      <c r="F47" s="230"/>
      <c r="G47" s="230">
        <v>0</v>
      </c>
      <c r="H47" s="230">
        <v>214690</v>
      </c>
      <c r="K47" s="230">
        <v>1374410</v>
      </c>
      <c r="L47" s="230">
        <v>20062964</v>
      </c>
      <c r="M47" s="230">
        <v>-450516</v>
      </c>
      <c r="N47" s="229">
        <f t="shared" si="0"/>
        <v>19612448</v>
      </c>
      <c r="O47" s="235">
        <f t="shared" si="1"/>
        <v>1589100</v>
      </c>
    </row>
    <row r="48" spans="1:15" ht="13.8" x14ac:dyDescent="0.25">
      <c r="A48" s="226">
        <v>21200</v>
      </c>
      <c r="B48" s="228" t="s">
        <v>491</v>
      </c>
      <c r="C48" s="230">
        <v>30046741</v>
      </c>
      <c r="D48" s="230">
        <v>2707733</v>
      </c>
      <c r="E48" s="230">
        <v>4954565</v>
      </c>
      <c r="F48" s="230"/>
      <c r="G48" s="230">
        <v>854332</v>
      </c>
      <c r="H48" s="230">
        <v>88822</v>
      </c>
      <c r="K48" s="230">
        <v>195961</v>
      </c>
      <c r="L48" s="230">
        <v>8300491</v>
      </c>
      <c r="M48" s="230">
        <v>268954</v>
      </c>
      <c r="N48" s="229">
        <f t="shared" si="0"/>
        <v>8569445</v>
      </c>
      <c r="O48" s="235">
        <f t="shared" si="1"/>
        <v>284783</v>
      </c>
    </row>
    <row r="49" spans="1:15" ht="13.8" x14ac:dyDescent="0.25">
      <c r="A49" s="226">
        <v>21300</v>
      </c>
      <c r="B49" s="228" t="s">
        <v>492</v>
      </c>
      <c r="C49" s="230">
        <v>341216241</v>
      </c>
      <c r="D49" s="230">
        <v>30749509</v>
      </c>
      <c r="E49" s="230">
        <v>56264941</v>
      </c>
      <c r="F49" s="230"/>
      <c r="G49" s="230">
        <v>12805154</v>
      </c>
      <c r="H49" s="230">
        <v>1008679</v>
      </c>
      <c r="K49" s="230">
        <v>1961916</v>
      </c>
      <c r="L49" s="230">
        <v>94261878</v>
      </c>
      <c r="M49" s="230">
        <v>2683484</v>
      </c>
      <c r="N49" s="229">
        <f t="shared" si="0"/>
        <v>96945362</v>
      </c>
      <c r="O49" s="235">
        <f t="shared" si="1"/>
        <v>2970595</v>
      </c>
    </row>
    <row r="50" spans="1:15" ht="13.8" x14ac:dyDescent="0.25">
      <c r="A50" s="226">
        <v>21520</v>
      </c>
      <c r="B50" s="227" t="s">
        <v>281</v>
      </c>
      <c r="C50" s="230">
        <v>513633478</v>
      </c>
      <c r="D50" s="230">
        <v>46287296</v>
      </c>
      <c r="E50" s="230">
        <v>84695727</v>
      </c>
      <c r="F50" s="230"/>
      <c r="G50" s="230">
        <v>20415390</v>
      </c>
      <c r="H50" s="230">
        <v>1518366</v>
      </c>
      <c r="K50" s="230">
        <v>3234551</v>
      </c>
      <c r="L50" s="230">
        <v>141892590</v>
      </c>
      <c r="M50" s="230">
        <v>9820890</v>
      </c>
      <c r="N50" s="229">
        <f t="shared" si="0"/>
        <v>151713480</v>
      </c>
      <c r="O50" s="235">
        <f t="shared" si="1"/>
        <v>4752917</v>
      </c>
    </row>
    <row r="51" spans="1:15" ht="13.8" x14ac:dyDescent="0.25">
      <c r="A51" s="226">
        <v>21525</v>
      </c>
      <c r="B51" s="227" t="s">
        <v>519</v>
      </c>
      <c r="C51" s="230">
        <v>19503193</v>
      </c>
      <c r="D51" s="230">
        <v>1757576</v>
      </c>
      <c r="E51" s="230">
        <v>3215984</v>
      </c>
      <c r="F51" s="230"/>
      <c r="G51" s="230">
        <v>1646933</v>
      </c>
      <c r="H51" s="230">
        <v>57654</v>
      </c>
      <c r="K51" s="230">
        <v>0</v>
      </c>
      <c r="L51" s="230">
        <v>5387808</v>
      </c>
      <c r="M51" s="230">
        <v>1340980</v>
      </c>
      <c r="N51" s="229">
        <f t="shared" si="0"/>
        <v>6728788</v>
      </c>
      <c r="O51" s="235">
        <f t="shared" si="1"/>
        <v>57654</v>
      </c>
    </row>
    <row r="52" spans="1:15" ht="13.8" x14ac:dyDescent="0.25">
      <c r="A52" s="191">
        <v>21525.200000000001</v>
      </c>
      <c r="B52" s="192" t="s">
        <v>520</v>
      </c>
      <c r="C52" s="229">
        <v>2841839</v>
      </c>
      <c r="D52" s="229">
        <v>256099</v>
      </c>
      <c r="E52" s="229">
        <v>468606</v>
      </c>
      <c r="F52" s="229"/>
      <c r="G52" s="229">
        <v>406188</v>
      </c>
      <c r="H52" s="229">
        <v>8401</v>
      </c>
      <c r="K52" s="229">
        <v>0</v>
      </c>
      <c r="L52" s="229">
        <v>785065</v>
      </c>
      <c r="M52" s="229">
        <v>302224</v>
      </c>
      <c r="N52" s="229">
        <f t="shared" si="0"/>
        <v>1087289</v>
      </c>
      <c r="O52" s="235">
        <f t="shared" si="1"/>
        <v>8401</v>
      </c>
    </row>
    <row r="53" spans="1:15" ht="13.8" x14ac:dyDescent="0.25">
      <c r="A53" s="191">
        <v>21550</v>
      </c>
      <c r="B53" s="192" t="s">
        <v>170</v>
      </c>
      <c r="C53" s="229">
        <v>571059958</v>
      </c>
      <c r="D53" s="229">
        <v>51462420</v>
      </c>
      <c r="E53" s="229">
        <v>94165081</v>
      </c>
      <c r="F53" s="229"/>
      <c r="G53" s="229">
        <v>1489886</v>
      </c>
      <c r="H53" s="229">
        <v>1688126</v>
      </c>
      <c r="K53" s="229">
        <v>11907530</v>
      </c>
      <c r="L53" s="229">
        <v>157756805</v>
      </c>
      <c r="M53" s="229">
        <v>-3227697</v>
      </c>
      <c r="N53" s="229">
        <f t="shared" si="0"/>
        <v>154529108</v>
      </c>
      <c r="O53" s="235">
        <f t="shared" si="1"/>
        <v>13595656</v>
      </c>
    </row>
    <row r="54" spans="1:15" ht="13.8" x14ac:dyDescent="0.25">
      <c r="A54" s="191">
        <v>21570</v>
      </c>
      <c r="B54" s="192" t="s">
        <v>284</v>
      </c>
      <c r="C54" s="229">
        <v>2875917</v>
      </c>
      <c r="D54" s="229">
        <v>259170</v>
      </c>
      <c r="E54" s="229">
        <v>474225</v>
      </c>
      <c r="F54" s="229"/>
      <c r="G54" s="229">
        <v>158864</v>
      </c>
      <c r="H54" s="229">
        <v>8502</v>
      </c>
      <c r="K54" s="229">
        <v>0</v>
      </c>
      <c r="L54" s="229">
        <v>794480</v>
      </c>
      <c r="M54" s="229">
        <v>122338</v>
      </c>
      <c r="N54" s="229">
        <f t="shared" si="0"/>
        <v>916818</v>
      </c>
      <c r="O54" s="235">
        <f t="shared" si="1"/>
        <v>8502</v>
      </c>
    </row>
    <row r="55" spans="1:15" ht="13.8" x14ac:dyDescent="0.25">
      <c r="A55" s="191">
        <v>21800</v>
      </c>
      <c r="B55" s="192" t="s">
        <v>176</v>
      </c>
      <c r="C55" s="229">
        <v>54611312</v>
      </c>
      <c r="D55" s="229">
        <v>4921428</v>
      </c>
      <c r="E55" s="229">
        <v>9005147</v>
      </c>
      <c r="F55" s="229"/>
      <c r="G55" s="229">
        <v>1676800</v>
      </c>
      <c r="H55" s="229">
        <v>161438</v>
      </c>
      <c r="K55" s="229">
        <v>58202</v>
      </c>
      <c r="L55" s="229">
        <v>15086518</v>
      </c>
      <c r="M55" s="229">
        <v>980991</v>
      </c>
      <c r="N55" s="229">
        <f t="shared" si="0"/>
        <v>16067509</v>
      </c>
      <c r="O55" s="235">
        <f t="shared" si="1"/>
        <v>219640</v>
      </c>
    </row>
    <row r="56" spans="1:15" ht="13.8" x14ac:dyDescent="0.25">
      <c r="A56" s="191">
        <v>21900</v>
      </c>
      <c r="B56" s="192" t="s">
        <v>177</v>
      </c>
      <c r="C56" s="229">
        <v>25093526</v>
      </c>
      <c r="D56" s="229">
        <v>2261362</v>
      </c>
      <c r="E56" s="229">
        <v>4137804</v>
      </c>
      <c r="F56" s="229"/>
      <c r="G56" s="229">
        <v>794162</v>
      </c>
      <c r="H56" s="229">
        <v>74180</v>
      </c>
      <c r="K56" s="229">
        <v>199036</v>
      </c>
      <c r="L56" s="229">
        <v>6932152</v>
      </c>
      <c r="M56" s="229">
        <v>211098</v>
      </c>
      <c r="N56" s="229">
        <f t="shared" si="0"/>
        <v>7143250</v>
      </c>
      <c r="O56" s="235">
        <f t="shared" si="1"/>
        <v>273216</v>
      </c>
    </row>
    <row r="57" spans="1:15" ht="13.8" x14ac:dyDescent="0.25">
      <c r="A57" s="191">
        <v>22000</v>
      </c>
      <c r="B57" s="192" t="s">
        <v>285</v>
      </c>
      <c r="C57" s="229">
        <v>57217565</v>
      </c>
      <c r="D57" s="229">
        <v>5156296</v>
      </c>
      <c r="E57" s="229">
        <v>9434905</v>
      </c>
      <c r="F57" s="229"/>
      <c r="G57" s="229">
        <v>3499286</v>
      </c>
      <c r="H57" s="229">
        <v>169142</v>
      </c>
      <c r="K57" s="229">
        <v>0</v>
      </c>
      <c r="L57" s="229">
        <v>15806502</v>
      </c>
      <c r="M57" s="229">
        <v>2920294</v>
      </c>
      <c r="N57" s="229">
        <f t="shared" si="0"/>
        <v>18726796</v>
      </c>
      <c r="O57" s="235">
        <f t="shared" si="1"/>
        <v>169142</v>
      </c>
    </row>
    <row r="58" spans="1:15" ht="13.8" x14ac:dyDescent="0.25">
      <c r="A58" s="226">
        <v>23000</v>
      </c>
      <c r="B58" s="227" t="s">
        <v>172</v>
      </c>
      <c r="C58" s="230">
        <v>18307487</v>
      </c>
      <c r="D58" s="230">
        <v>1649823</v>
      </c>
      <c r="E58" s="230">
        <v>3018818</v>
      </c>
      <c r="F58" s="230"/>
      <c r="G58" s="230">
        <v>1144041</v>
      </c>
      <c r="H58" s="230">
        <v>54119</v>
      </c>
      <c r="K58" s="230">
        <v>147169</v>
      </c>
      <c r="L58" s="230">
        <v>5057491</v>
      </c>
      <c r="M58" s="230">
        <v>431967</v>
      </c>
      <c r="N58" s="229">
        <f t="shared" si="0"/>
        <v>5489458</v>
      </c>
      <c r="O58" s="235">
        <f t="shared" si="1"/>
        <v>201288</v>
      </c>
    </row>
    <row r="59" spans="1:15" ht="13.8" x14ac:dyDescent="0.25">
      <c r="A59" s="226">
        <v>23100</v>
      </c>
      <c r="B59" s="227" t="s">
        <v>173</v>
      </c>
      <c r="C59" s="230">
        <v>115153740</v>
      </c>
      <c r="D59" s="230">
        <v>10377352</v>
      </c>
      <c r="E59" s="230">
        <v>18988306</v>
      </c>
      <c r="F59" s="230"/>
      <c r="G59" s="230">
        <v>5245303</v>
      </c>
      <c r="H59" s="230">
        <v>340409</v>
      </c>
      <c r="K59" s="230">
        <v>890209</v>
      </c>
      <c r="L59" s="230">
        <v>31811521</v>
      </c>
      <c r="M59" s="230">
        <v>1835487</v>
      </c>
      <c r="N59" s="229">
        <f t="shared" si="0"/>
        <v>33647008</v>
      </c>
      <c r="O59" s="235">
        <f t="shared" si="1"/>
        <v>1230618</v>
      </c>
    </row>
    <row r="60" spans="1:15" ht="13.8" x14ac:dyDescent="0.25">
      <c r="A60" s="226">
        <v>23200</v>
      </c>
      <c r="B60" s="227" t="s">
        <v>175</v>
      </c>
      <c r="C60" s="230">
        <v>71900893</v>
      </c>
      <c r="D60" s="230">
        <v>6479519</v>
      </c>
      <c r="E60" s="230">
        <v>11856117</v>
      </c>
      <c r="F60" s="230"/>
      <c r="G60" s="230">
        <v>2922433</v>
      </c>
      <c r="H60" s="230">
        <v>212548</v>
      </c>
      <c r="K60" s="230">
        <v>0</v>
      </c>
      <c r="L60" s="230">
        <v>19862810</v>
      </c>
      <c r="M60" s="230">
        <v>2104284</v>
      </c>
      <c r="N60" s="229">
        <f t="shared" si="0"/>
        <v>21967094</v>
      </c>
      <c r="O60" s="235">
        <f t="shared" si="1"/>
        <v>212548</v>
      </c>
    </row>
    <row r="61" spans="1:15" ht="13.8" x14ac:dyDescent="0.25">
      <c r="A61" s="226">
        <v>30000</v>
      </c>
      <c r="B61" s="227" t="s">
        <v>286</v>
      </c>
      <c r="C61" s="230">
        <v>12361554</v>
      </c>
      <c r="D61" s="230">
        <v>1113991</v>
      </c>
      <c r="E61" s="230">
        <v>2038362</v>
      </c>
      <c r="F61" s="230"/>
      <c r="G61" s="230">
        <v>191610</v>
      </c>
      <c r="H61" s="230">
        <v>36542</v>
      </c>
      <c r="K61" s="230">
        <v>24909</v>
      </c>
      <c r="L61" s="230">
        <v>3414912</v>
      </c>
      <c r="M61" s="230">
        <v>-77650</v>
      </c>
      <c r="N61" s="229">
        <f t="shared" si="0"/>
        <v>3337262</v>
      </c>
      <c r="O61" s="235">
        <f t="shared" si="1"/>
        <v>61451</v>
      </c>
    </row>
    <row r="62" spans="1:15" ht="13.8" x14ac:dyDescent="0.25">
      <c r="A62" s="226">
        <v>30100</v>
      </c>
      <c r="B62" s="227" t="s">
        <v>287</v>
      </c>
      <c r="C62" s="230">
        <v>119884705</v>
      </c>
      <c r="D62" s="230">
        <v>10803694</v>
      </c>
      <c r="E62" s="230">
        <v>19768420</v>
      </c>
      <c r="F62" s="230"/>
      <c r="G62" s="230">
        <v>897182</v>
      </c>
      <c r="H62" s="230">
        <v>354395</v>
      </c>
      <c r="K62" s="230">
        <v>5481280</v>
      </c>
      <c r="L62" s="230">
        <v>33118463</v>
      </c>
      <c r="M62" s="230">
        <v>-2432041</v>
      </c>
      <c r="N62" s="229">
        <f t="shared" si="0"/>
        <v>30686422</v>
      </c>
      <c r="O62" s="235">
        <f t="shared" si="1"/>
        <v>5835675</v>
      </c>
    </row>
    <row r="63" spans="1:15" ht="13.8" x14ac:dyDescent="0.25">
      <c r="A63" s="226">
        <v>30102</v>
      </c>
      <c r="B63" s="227" t="s">
        <v>288</v>
      </c>
      <c r="C63" s="230">
        <v>3834556</v>
      </c>
      <c r="D63" s="230">
        <v>345560</v>
      </c>
      <c r="E63" s="230">
        <v>632300</v>
      </c>
      <c r="F63" s="230"/>
      <c r="G63" s="230">
        <v>288442</v>
      </c>
      <c r="H63" s="230">
        <v>11335</v>
      </c>
      <c r="K63" s="230">
        <v>0</v>
      </c>
      <c r="L63" s="230">
        <v>1059306</v>
      </c>
      <c r="M63" s="230">
        <v>143679</v>
      </c>
      <c r="N63" s="229">
        <f t="shared" si="0"/>
        <v>1202985</v>
      </c>
      <c r="O63" s="235">
        <f t="shared" si="1"/>
        <v>11335</v>
      </c>
    </row>
    <row r="64" spans="1:15" ht="13.8" x14ac:dyDescent="0.25">
      <c r="A64" s="191">
        <v>30103</v>
      </c>
      <c r="B64" s="192" t="s">
        <v>289</v>
      </c>
      <c r="C64" s="229">
        <v>3456731</v>
      </c>
      <c r="D64" s="229">
        <v>311511</v>
      </c>
      <c r="E64" s="229">
        <v>569999</v>
      </c>
      <c r="F64" s="229"/>
      <c r="G64" s="229">
        <v>0</v>
      </c>
      <c r="H64" s="229">
        <v>10219</v>
      </c>
      <c r="K64" s="229">
        <v>61817</v>
      </c>
      <c r="L64" s="229">
        <v>954931</v>
      </c>
      <c r="M64" s="229">
        <v>-72474</v>
      </c>
      <c r="N64" s="229">
        <f t="shared" si="0"/>
        <v>882457</v>
      </c>
      <c r="O64" s="235">
        <f t="shared" si="1"/>
        <v>72036</v>
      </c>
    </row>
    <row r="65" spans="1:15" ht="13.8" x14ac:dyDescent="0.25">
      <c r="A65" s="191">
        <v>30104</v>
      </c>
      <c r="B65" s="192" t="s">
        <v>290</v>
      </c>
      <c r="C65" s="229">
        <v>2843321</v>
      </c>
      <c r="D65" s="229">
        <v>256233</v>
      </c>
      <c r="E65" s="229">
        <v>468850</v>
      </c>
      <c r="F65" s="229"/>
      <c r="G65" s="229">
        <v>109298</v>
      </c>
      <c r="H65" s="229">
        <v>8405</v>
      </c>
      <c r="K65" s="229">
        <v>67834</v>
      </c>
      <c r="L65" s="229">
        <v>785475</v>
      </c>
      <c r="M65" s="229">
        <v>77429</v>
      </c>
      <c r="N65" s="229">
        <f t="shared" si="0"/>
        <v>862904</v>
      </c>
      <c r="O65" s="235">
        <f t="shared" si="1"/>
        <v>76239</v>
      </c>
    </row>
    <row r="66" spans="1:15" ht="13.8" x14ac:dyDescent="0.25">
      <c r="A66" s="191">
        <v>30105</v>
      </c>
      <c r="B66" s="192" t="s">
        <v>178</v>
      </c>
      <c r="C66" s="229">
        <v>12248948</v>
      </c>
      <c r="D66" s="229">
        <v>1103843</v>
      </c>
      <c r="E66" s="229">
        <v>2019793</v>
      </c>
      <c r="F66" s="229"/>
      <c r="G66" s="229">
        <v>372992</v>
      </c>
      <c r="H66" s="229">
        <v>36209</v>
      </c>
      <c r="K66" s="229">
        <v>10257</v>
      </c>
      <c r="L66" s="229">
        <v>3383804</v>
      </c>
      <c r="M66" s="229">
        <v>168899</v>
      </c>
      <c r="N66" s="229">
        <f t="shared" si="0"/>
        <v>3552703</v>
      </c>
      <c r="O66" s="235">
        <f t="shared" si="1"/>
        <v>46466</v>
      </c>
    </row>
    <row r="67" spans="1:15" ht="13.8" x14ac:dyDescent="0.25">
      <c r="A67" s="191">
        <v>30200</v>
      </c>
      <c r="B67" s="192" t="s">
        <v>291</v>
      </c>
      <c r="C67" s="229">
        <v>27684963</v>
      </c>
      <c r="D67" s="229">
        <v>2494896</v>
      </c>
      <c r="E67" s="229">
        <v>4565119</v>
      </c>
      <c r="F67" s="229"/>
      <c r="G67" s="229">
        <v>292898</v>
      </c>
      <c r="H67" s="229">
        <v>81840</v>
      </c>
      <c r="K67" s="229">
        <v>420498</v>
      </c>
      <c r="L67" s="229">
        <v>7648043</v>
      </c>
      <c r="M67" s="229">
        <v>-85097</v>
      </c>
      <c r="N67" s="229">
        <f t="shared" si="0"/>
        <v>7562946</v>
      </c>
      <c r="O67" s="235">
        <f t="shared" si="1"/>
        <v>502338</v>
      </c>
    </row>
    <row r="68" spans="1:15" ht="13.8" x14ac:dyDescent="0.25">
      <c r="A68" s="191">
        <v>30300</v>
      </c>
      <c r="B68" s="192" t="s">
        <v>292</v>
      </c>
      <c r="C68" s="229">
        <v>9220419</v>
      </c>
      <c r="D68" s="229">
        <v>830920</v>
      </c>
      <c r="E68" s="229">
        <v>1520403</v>
      </c>
      <c r="F68" s="229"/>
      <c r="G68" s="229">
        <v>237573</v>
      </c>
      <c r="H68" s="229">
        <v>27257</v>
      </c>
      <c r="K68" s="229">
        <v>248045</v>
      </c>
      <c r="L68" s="229">
        <v>2547165</v>
      </c>
      <c r="M68" s="229">
        <v>-36024</v>
      </c>
      <c r="N68" s="229">
        <f t="shared" si="0"/>
        <v>2511141</v>
      </c>
      <c r="O68" s="235">
        <f t="shared" si="1"/>
        <v>275302</v>
      </c>
    </row>
    <row r="69" spans="1:15" ht="13.8" x14ac:dyDescent="0.25">
      <c r="A69" s="191">
        <v>30400</v>
      </c>
      <c r="B69" s="192" t="s">
        <v>293</v>
      </c>
      <c r="C69" s="229">
        <v>19107588</v>
      </c>
      <c r="D69" s="229">
        <v>1721926</v>
      </c>
      <c r="E69" s="229">
        <v>3150751</v>
      </c>
      <c r="F69" s="229"/>
      <c r="G69" s="229">
        <v>715120</v>
      </c>
      <c r="H69" s="229">
        <v>56484</v>
      </c>
      <c r="K69" s="229">
        <v>0</v>
      </c>
      <c r="L69" s="229">
        <v>5278521</v>
      </c>
      <c r="M69" s="229">
        <v>352796</v>
      </c>
      <c r="N69" s="229">
        <f t="shared" ref="N69:N132" si="2">L69+M69</f>
        <v>5631317</v>
      </c>
      <c r="O69" s="235">
        <f t="shared" ref="O69:O132" si="3">SUM(H69:K69)</f>
        <v>56484</v>
      </c>
    </row>
    <row r="70" spans="1:15" ht="13.8" x14ac:dyDescent="0.25">
      <c r="A70" s="226">
        <v>30405</v>
      </c>
      <c r="B70" s="227" t="s">
        <v>224</v>
      </c>
      <c r="C70" s="230">
        <v>11250304</v>
      </c>
      <c r="D70" s="230">
        <v>1013848</v>
      </c>
      <c r="E70" s="230">
        <v>1855122</v>
      </c>
      <c r="F70" s="230"/>
      <c r="G70" s="230">
        <v>311796</v>
      </c>
      <c r="H70" s="230">
        <v>33257</v>
      </c>
      <c r="K70" s="230">
        <v>53312</v>
      </c>
      <c r="L70" s="230">
        <v>3107926</v>
      </c>
      <c r="M70" s="230">
        <v>222858</v>
      </c>
      <c r="N70" s="229">
        <f t="shared" si="2"/>
        <v>3330784</v>
      </c>
      <c r="O70" s="235">
        <f t="shared" si="3"/>
        <v>86569</v>
      </c>
    </row>
    <row r="71" spans="1:15" ht="13.8" x14ac:dyDescent="0.25">
      <c r="A71" s="226">
        <v>30500</v>
      </c>
      <c r="B71" s="227" t="s">
        <v>294</v>
      </c>
      <c r="C71" s="231">
        <v>17677779</v>
      </c>
      <c r="D71" s="231">
        <v>1593075</v>
      </c>
      <c r="E71" s="231">
        <v>2914982</v>
      </c>
      <c r="F71" s="231"/>
      <c r="G71" s="230">
        <v>385377</v>
      </c>
      <c r="H71" s="231">
        <v>52258</v>
      </c>
      <c r="K71" s="230">
        <v>106939</v>
      </c>
      <c r="L71" s="231">
        <v>4883532</v>
      </c>
      <c r="M71" s="230">
        <v>3724</v>
      </c>
      <c r="N71" s="229">
        <f t="shared" si="2"/>
        <v>4887256</v>
      </c>
      <c r="O71" s="235">
        <f t="shared" si="3"/>
        <v>159197</v>
      </c>
    </row>
    <row r="72" spans="1:15" ht="13.8" x14ac:dyDescent="0.25">
      <c r="A72" s="226">
        <v>30600</v>
      </c>
      <c r="B72" s="227" t="s">
        <v>295</v>
      </c>
      <c r="C72" s="231">
        <v>13795809</v>
      </c>
      <c r="D72" s="231">
        <v>1243242</v>
      </c>
      <c r="E72" s="231">
        <v>2274864</v>
      </c>
      <c r="F72" s="231"/>
      <c r="G72" s="230">
        <v>232170</v>
      </c>
      <c r="H72" s="231">
        <v>40782</v>
      </c>
      <c r="K72" s="230">
        <v>272653</v>
      </c>
      <c r="L72" s="231">
        <v>3811128</v>
      </c>
      <c r="M72" s="230">
        <v>-163</v>
      </c>
      <c r="N72" s="229">
        <f t="shared" si="2"/>
        <v>3810965</v>
      </c>
      <c r="O72" s="235">
        <f t="shared" si="3"/>
        <v>313435</v>
      </c>
    </row>
    <row r="73" spans="1:15" ht="13.8" x14ac:dyDescent="0.25">
      <c r="A73" s="226">
        <v>30601</v>
      </c>
      <c r="B73" s="227" t="s">
        <v>493</v>
      </c>
      <c r="C73" s="230">
        <v>0</v>
      </c>
      <c r="D73" s="230">
        <v>0</v>
      </c>
      <c r="E73" s="230">
        <v>0</v>
      </c>
      <c r="F73" s="230"/>
      <c r="G73" s="230">
        <v>0</v>
      </c>
      <c r="H73" s="230" t="s">
        <v>575</v>
      </c>
      <c r="K73" s="230">
        <v>0</v>
      </c>
      <c r="L73" s="230">
        <v>0</v>
      </c>
      <c r="M73" s="230">
        <v>-9725</v>
      </c>
      <c r="N73" s="229">
        <f t="shared" si="2"/>
        <v>-9725</v>
      </c>
      <c r="O73" s="235">
        <f t="shared" si="3"/>
        <v>0</v>
      </c>
    </row>
    <row r="74" spans="1:15" ht="13.8" x14ac:dyDescent="0.25">
      <c r="A74" s="226">
        <v>30700</v>
      </c>
      <c r="B74" s="227" t="s">
        <v>296</v>
      </c>
      <c r="C74" s="230">
        <v>33947973</v>
      </c>
      <c r="D74" s="230">
        <v>3059302</v>
      </c>
      <c r="E74" s="230">
        <v>5597860</v>
      </c>
      <c r="F74" s="230"/>
      <c r="G74" s="230">
        <v>773380</v>
      </c>
      <c r="H74" s="230">
        <v>100355</v>
      </c>
      <c r="K74" s="230">
        <v>2302237</v>
      </c>
      <c r="L74" s="230">
        <v>9378216</v>
      </c>
      <c r="M74" s="230">
        <v>-636948</v>
      </c>
      <c r="N74" s="229">
        <f t="shared" si="2"/>
        <v>8741268</v>
      </c>
      <c r="O74" s="235">
        <f t="shared" si="3"/>
        <v>2402592</v>
      </c>
    </row>
    <row r="75" spans="1:15" ht="13.8" x14ac:dyDescent="0.25">
      <c r="A75" s="226">
        <v>30705</v>
      </c>
      <c r="B75" s="227" t="s">
        <v>180</v>
      </c>
      <c r="C75" s="230">
        <v>7926923</v>
      </c>
      <c r="D75" s="230">
        <v>714353</v>
      </c>
      <c r="E75" s="230">
        <v>1307112</v>
      </c>
      <c r="F75" s="230"/>
      <c r="G75" s="230">
        <v>267660</v>
      </c>
      <c r="H75" s="230">
        <v>23433</v>
      </c>
      <c r="K75" s="230">
        <v>10718</v>
      </c>
      <c r="L75" s="230">
        <v>2189833</v>
      </c>
      <c r="M75" s="230">
        <v>141265</v>
      </c>
      <c r="N75" s="229">
        <f t="shared" si="2"/>
        <v>2331098</v>
      </c>
      <c r="O75" s="235">
        <f t="shared" si="3"/>
        <v>34151</v>
      </c>
    </row>
    <row r="76" spans="1:15" ht="13.8" x14ac:dyDescent="0.25">
      <c r="A76" s="191">
        <v>30800</v>
      </c>
      <c r="B76" s="192" t="s">
        <v>297</v>
      </c>
      <c r="C76" s="229">
        <v>10699123</v>
      </c>
      <c r="D76" s="229">
        <v>964177</v>
      </c>
      <c r="E76" s="229">
        <v>1764235</v>
      </c>
      <c r="F76" s="229"/>
      <c r="G76" s="229">
        <v>343446</v>
      </c>
      <c r="H76" s="229">
        <v>31628</v>
      </c>
      <c r="K76" s="229">
        <v>0</v>
      </c>
      <c r="L76" s="229">
        <v>2955661</v>
      </c>
      <c r="M76" s="229">
        <v>110127</v>
      </c>
      <c r="N76" s="229">
        <f t="shared" si="2"/>
        <v>3065788</v>
      </c>
      <c r="O76" s="235">
        <f t="shared" si="3"/>
        <v>31628</v>
      </c>
    </row>
    <row r="77" spans="1:15" ht="13.8" x14ac:dyDescent="0.25">
      <c r="A77" s="191">
        <v>30900</v>
      </c>
      <c r="B77" s="192" t="s">
        <v>298</v>
      </c>
      <c r="C77" s="229">
        <v>24425294</v>
      </c>
      <c r="D77" s="229">
        <v>2201143</v>
      </c>
      <c r="E77" s="229">
        <v>4027615</v>
      </c>
      <c r="F77" s="229"/>
      <c r="G77" s="229">
        <v>1347720</v>
      </c>
      <c r="H77" s="229">
        <v>72204</v>
      </c>
      <c r="K77" s="229">
        <v>195276</v>
      </c>
      <c r="L77" s="229">
        <v>6747551</v>
      </c>
      <c r="M77" s="229">
        <v>561783</v>
      </c>
      <c r="N77" s="229">
        <f t="shared" si="2"/>
        <v>7309334</v>
      </c>
      <c r="O77" s="235">
        <f t="shared" si="3"/>
        <v>267480</v>
      </c>
    </row>
    <row r="78" spans="1:15" ht="13.8" x14ac:dyDescent="0.25">
      <c r="A78" s="191">
        <v>30905</v>
      </c>
      <c r="B78" s="192" t="s">
        <v>181</v>
      </c>
      <c r="C78" s="229">
        <v>4686515</v>
      </c>
      <c r="D78" s="229">
        <v>422336</v>
      </c>
      <c r="E78" s="229">
        <v>772784</v>
      </c>
      <c r="F78" s="229"/>
      <c r="G78" s="229">
        <v>346130</v>
      </c>
      <c r="H78" s="229">
        <v>13854</v>
      </c>
      <c r="K78" s="229">
        <v>0</v>
      </c>
      <c r="L78" s="229">
        <v>1294662</v>
      </c>
      <c r="M78" s="229">
        <v>189786</v>
      </c>
      <c r="N78" s="229">
        <f t="shared" si="2"/>
        <v>1484448</v>
      </c>
      <c r="O78" s="235">
        <f t="shared" si="3"/>
        <v>13854</v>
      </c>
    </row>
    <row r="79" spans="1:15" ht="13.8" x14ac:dyDescent="0.25">
      <c r="A79" s="191">
        <v>31000</v>
      </c>
      <c r="B79" s="192" t="s">
        <v>299</v>
      </c>
      <c r="C79" s="229">
        <v>75313174</v>
      </c>
      <c r="D79" s="229">
        <v>6787025</v>
      </c>
      <c r="E79" s="229">
        <v>12418786</v>
      </c>
      <c r="F79" s="229"/>
      <c r="G79" s="229">
        <v>975367</v>
      </c>
      <c r="H79" s="229">
        <v>222635</v>
      </c>
      <c r="K79" s="229">
        <v>0</v>
      </c>
      <c r="L79" s="229">
        <v>20805461</v>
      </c>
      <c r="M79" s="229">
        <v>508390</v>
      </c>
      <c r="N79" s="229">
        <f t="shared" si="2"/>
        <v>21313851</v>
      </c>
      <c r="O79" s="235">
        <f t="shared" si="3"/>
        <v>222635</v>
      </c>
    </row>
    <row r="80" spans="1:15" ht="13.8" x14ac:dyDescent="0.25">
      <c r="A80" s="191">
        <v>31005</v>
      </c>
      <c r="B80" s="192" t="s">
        <v>183</v>
      </c>
      <c r="C80" s="229">
        <v>7458716</v>
      </c>
      <c r="D80" s="229">
        <v>672160</v>
      </c>
      <c r="E80" s="229">
        <v>1229907</v>
      </c>
      <c r="F80" s="229"/>
      <c r="G80" s="229">
        <v>364625</v>
      </c>
      <c r="H80" s="229">
        <v>22049</v>
      </c>
      <c r="K80" s="229">
        <v>0</v>
      </c>
      <c r="L80" s="229">
        <v>2060490</v>
      </c>
      <c r="M80" s="229">
        <v>247767</v>
      </c>
      <c r="N80" s="229">
        <f t="shared" si="2"/>
        <v>2308257</v>
      </c>
      <c r="O80" s="235">
        <f t="shared" si="3"/>
        <v>22049</v>
      </c>
    </row>
    <row r="81" spans="1:15" ht="13.8" x14ac:dyDescent="0.25">
      <c r="A81" s="191">
        <v>31100</v>
      </c>
      <c r="B81" s="192" t="s">
        <v>300</v>
      </c>
      <c r="C81" s="229">
        <v>140768813</v>
      </c>
      <c r="D81" s="229">
        <v>12685715</v>
      </c>
      <c r="E81" s="229">
        <v>23212110</v>
      </c>
      <c r="F81" s="229"/>
      <c r="G81" s="229">
        <v>480957</v>
      </c>
      <c r="H81" s="229">
        <v>416131</v>
      </c>
      <c r="K81" s="229">
        <v>1986257</v>
      </c>
      <c r="L81" s="229">
        <v>38887752</v>
      </c>
      <c r="M81" s="229">
        <v>-1610281</v>
      </c>
      <c r="N81" s="229">
        <f t="shared" si="2"/>
        <v>37277471</v>
      </c>
      <c r="O81" s="235">
        <f t="shared" si="3"/>
        <v>2402388</v>
      </c>
    </row>
    <row r="82" spans="1:15" ht="13.8" x14ac:dyDescent="0.25">
      <c r="A82" s="191">
        <v>31101</v>
      </c>
      <c r="B82" s="192" t="s">
        <v>494</v>
      </c>
      <c r="C82" s="229">
        <v>874184</v>
      </c>
      <c r="D82" s="229">
        <v>78779</v>
      </c>
      <c r="E82" s="229">
        <v>144149</v>
      </c>
      <c r="F82" s="229"/>
      <c r="G82" s="229">
        <v>40039</v>
      </c>
      <c r="H82" s="229">
        <v>2584</v>
      </c>
      <c r="K82" s="229">
        <v>47785</v>
      </c>
      <c r="L82" s="229">
        <v>241496</v>
      </c>
      <c r="M82" s="229">
        <v>-1101</v>
      </c>
      <c r="N82" s="229">
        <f t="shared" si="2"/>
        <v>240395</v>
      </c>
      <c r="O82" s="235">
        <f t="shared" si="3"/>
        <v>50369</v>
      </c>
    </row>
    <row r="83" spans="1:15" ht="13.8" x14ac:dyDescent="0.25">
      <c r="A83" s="191">
        <v>31102</v>
      </c>
      <c r="B83" s="192" t="s">
        <v>302</v>
      </c>
      <c r="C83" s="229">
        <v>2603290</v>
      </c>
      <c r="D83" s="229">
        <v>234602</v>
      </c>
      <c r="E83" s="229">
        <v>429270</v>
      </c>
      <c r="F83" s="229"/>
      <c r="G83" s="229">
        <v>0</v>
      </c>
      <c r="H83" s="229">
        <v>7696</v>
      </c>
      <c r="K83" s="229">
        <v>104752</v>
      </c>
      <c r="L83" s="229">
        <v>719166</v>
      </c>
      <c r="M83" s="229">
        <v>-52156</v>
      </c>
      <c r="N83" s="229">
        <f t="shared" si="2"/>
        <v>667010</v>
      </c>
      <c r="O83" s="235">
        <f t="shared" si="3"/>
        <v>112448</v>
      </c>
    </row>
    <row r="84" spans="1:15" ht="13.8" x14ac:dyDescent="0.25">
      <c r="A84" s="191">
        <v>31105</v>
      </c>
      <c r="B84" s="192" t="s">
        <v>179</v>
      </c>
      <c r="C84" s="229">
        <v>23054751</v>
      </c>
      <c r="D84" s="229">
        <v>2077633</v>
      </c>
      <c r="E84" s="229">
        <v>3801619</v>
      </c>
      <c r="F84" s="229"/>
      <c r="G84" s="229">
        <v>446318</v>
      </c>
      <c r="H84" s="229">
        <v>68153</v>
      </c>
      <c r="K84" s="229">
        <v>38688</v>
      </c>
      <c r="L84" s="229">
        <v>6368935</v>
      </c>
      <c r="M84" s="229">
        <v>259781</v>
      </c>
      <c r="N84" s="229">
        <f t="shared" si="2"/>
        <v>6628716</v>
      </c>
      <c r="O84" s="235">
        <f t="shared" si="3"/>
        <v>106841</v>
      </c>
    </row>
    <row r="85" spans="1:15" ht="13.8" x14ac:dyDescent="0.25">
      <c r="A85" s="191">
        <v>31110</v>
      </c>
      <c r="B85" s="192" t="s">
        <v>303</v>
      </c>
      <c r="C85" s="229">
        <v>33199730</v>
      </c>
      <c r="D85" s="229">
        <v>2991872</v>
      </c>
      <c r="E85" s="229">
        <v>5474478</v>
      </c>
      <c r="F85" s="229"/>
      <c r="G85" s="229">
        <v>0</v>
      </c>
      <c r="H85" s="229">
        <v>98143</v>
      </c>
      <c r="K85" s="229">
        <v>574392</v>
      </c>
      <c r="L85" s="229">
        <v>9171512</v>
      </c>
      <c r="M85" s="229">
        <v>-666734</v>
      </c>
      <c r="N85" s="229">
        <f t="shared" si="2"/>
        <v>8504778</v>
      </c>
      <c r="O85" s="235">
        <f t="shared" si="3"/>
        <v>672535</v>
      </c>
    </row>
    <row r="86" spans="1:15" ht="13.8" x14ac:dyDescent="0.25">
      <c r="A86" s="191">
        <v>31200</v>
      </c>
      <c r="B86" s="192" t="s">
        <v>304</v>
      </c>
      <c r="C86" s="229">
        <v>61841851</v>
      </c>
      <c r="D86" s="229">
        <v>5573025</v>
      </c>
      <c r="E86" s="229">
        <v>10197428</v>
      </c>
      <c r="F86" s="229"/>
      <c r="G86" s="229">
        <v>735996</v>
      </c>
      <c r="H86" s="229">
        <v>182812</v>
      </c>
      <c r="K86" s="229">
        <v>126568</v>
      </c>
      <c r="L86" s="229">
        <v>17083973</v>
      </c>
      <c r="M86" s="229">
        <v>-160983</v>
      </c>
      <c r="N86" s="229">
        <f t="shared" si="2"/>
        <v>16922990</v>
      </c>
      <c r="O86" s="235">
        <f t="shared" si="3"/>
        <v>309380</v>
      </c>
    </row>
    <row r="87" spans="1:15" ht="13.8" x14ac:dyDescent="0.25">
      <c r="A87" s="191">
        <v>31205</v>
      </c>
      <c r="B87" s="192" t="s">
        <v>495</v>
      </c>
      <c r="C87" s="229">
        <v>6528228</v>
      </c>
      <c r="D87" s="229">
        <v>588307</v>
      </c>
      <c r="E87" s="229">
        <v>1076474</v>
      </c>
      <c r="F87" s="229"/>
      <c r="G87" s="229">
        <v>48941</v>
      </c>
      <c r="H87" s="229">
        <v>19298</v>
      </c>
      <c r="K87" s="229">
        <v>0</v>
      </c>
      <c r="L87" s="229">
        <v>1803440</v>
      </c>
      <c r="M87" s="229">
        <v>93383</v>
      </c>
      <c r="N87" s="229">
        <f t="shared" si="2"/>
        <v>1896823</v>
      </c>
      <c r="O87" s="235">
        <f t="shared" si="3"/>
        <v>19298</v>
      </c>
    </row>
    <row r="88" spans="1:15" ht="13.8" x14ac:dyDescent="0.25">
      <c r="A88" s="226">
        <v>31300</v>
      </c>
      <c r="B88" s="227" t="s">
        <v>305</v>
      </c>
      <c r="C88" s="230">
        <v>185667792</v>
      </c>
      <c r="D88" s="230">
        <v>16731892</v>
      </c>
      <c r="E88" s="230">
        <v>30615739</v>
      </c>
      <c r="F88" s="230"/>
      <c r="G88" s="230">
        <v>0</v>
      </c>
      <c r="H88" s="230">
        <v>548858</v>
      </c>
      <c r="K88" s="230">
        <v>4866566</v>
      </c>
      <c r="L88" s="230">
        <v>51291213</v>
      </c>
      <c r="M88" s="230">
        <v>-2637350</v>
      </c>
      <c r="N88" s="229">
        <f t="shared" si="2"/>
        <v>48653863</v>
      </c>
      <c r="O88" s="235">
        <f t="shared" si="3"/>
        <v>5415424</v>
      </c>
    </row>
    <row r="89" spans="1:15" ht="13.8" x14ac:dyDescent="0.25">
      <c r="A89" s="226">
        <v>31301</v>
      </c>
      <c r="B89" s="227" t="s">
        <v>306</v>
      </c>
      <c r="C89" s="230">
        <v>3418208</v>
      </c>
      <c r="D89" s="230">
        <v>308040</v>
      </c>
      <c r="E89" s="230">
        <v>563646</v>
      </c>
      <c r="F89" s="230"/>
      <c r="G89" s="230">
        <v>1761</v>
      </c>
      <c r="H89" s="230">
        <v>10105</v>
      </c>
      <c r="K89" s="230">
        <v>84215</v>
      </c>
      <c r="L89" s="230">
        <v>944289</v>
      </c>
      <c r="M89" s="230">
        <v>-119679</v>
      </c>
      <c r="N89" s="229">
        <f t="shared" si="2"/>
        <v>824610</v>
      </c>
      <c r="O89" s="235">
        <f t="shared" si="3"/>
        <v>94320</v>
      </c>
    </row>
    <row r="90" spans="1:15" ht="13.8" x14ac:dyDescent="0.25">
      <c r="A90" s="226">
        <v>31320</v>
      </c>
      <c r="B90" s="227" t="s">
        <v>307</v>
      </c>
      <c r="C90" s="230">
        <v>30673487</v>
      </c>
      <c r="D90" s="230">
        <v>2764214</v>
      </c>
      <c r="E90" s="230">
        <v>5057913</v>
      </c>
      <c r="F90" s="230"/>
      <c r="G90" s="230">
        <v>206890</v>
      </c>
      <c r="H90" s="230">
        <v>90675</v>
      </c>
      <c r="K90" s="230">
        <v>900706</v>
      </c>
      <c r="L90" s="230">
        <v>8473631</v>
      </c>
      <c r="M90" s="230">
        <v>-564845</v>
      </c>
      <c r="N90" s="229">
        <f t="shared" si="2"/>
        <v>7908786</v>
      </c>
      <c r="O90" s="235">
        <f t="shared" si="3"/>
        <v>991381</v>
      </c>
    </row>
    <row r="91" spans="1:15" ht="13.8" x14ac:dyDescent="0.25">
      <c r="A91" s="226">
        <v>31400</v>
      </c>
      <c r="B91" s="227" t="s">
        <v>308</v>
      </c>
      <c r="C91" s="230">
        <v>59268194</v>
      </c>
      <c r="D91" s="230">
        <v>5341094</v>
      </c>
      <c r="E91" s="230">
        <v>9773044</v>
      </c>
      <c r="F91" s="230"/>
      <c r="G91" s="230">
        <v>737630</v>
      </c>
      <c r="H91" s="230">
        <v>175204</v>
      </c>
      <c r="K91" s="230">
        <v>154799</v>
      </c>
      <c r="L91" s="230">
        <v>16372993</v>
      </c>
      <c r="M91" s="230">
        <v>-199413</v>
      </c>
      <c r="N91" s="229">
        <f t="shared" si="2"/>
        <v>16173580</v>
      </c>
      <c r="O91" s="235">
        <f t="shared" si="3"/>
        <v>330003</v>
      </c>
    </row>
    <row r="92" spans="1:15" ht="13.8" x14ac:dyDescent="0.25">
      <c r="A92" s="226">
        <v>31405</v>
      </c>
      <c r="B92" s="227" t="s">
        <v>184</v>
      </c>
      <c r="C92" s="230">
        <v>14520344</v>
      </c>
      <c r="D92" s="230">
        <v>1308535</v>
      </c>
      <c r="E92" s="230">
        <v>2394336</v>
      </c>
      <c r="F92" s="230"/>
      <c r="G92" s="230">
        <v>801792</v>
      </c>
      <c r="H92" s="230">
        <v>42924</v>
      </c>
      <c r="K92" s="230">
        <v>0</v>
      </c>
      <c r="L92" s="230">
        <v>4011283</v>
      </c>
      <c r="M92" s="230">
        <v>578999</v>
      </c>
      <c r="N92" s="229">
        <f t="shared" si="2"/>
        <v>4590282</v>
      </c>
      <c r="O92" s="235">
        <f t="shared" si="3"/>
        <v>42924</v>
      </c>
    </row>
    <row r="93" spans="1:15" ht="13.8" x14ac:dyDescent="0.25">
      <c r="A93" s="226">
        <v>31500</v>
      </c>
      <c r="B93" s="227" t="s">
        <v>309</v>
      </c>
      <c r="C93" s="230">
        <v>11404397</v>
      </c>
      <c r="D93" s="230">
        <v>1027734</v>
      </c>
      <c r="E93" s="230">
        <v>1880531</v>
      </c>
      <c r="F93" s="230"/>
      <c r="G93" s="230">
        <v>310921</v>
      </c>
      <c r="H93" s="230">
        <v>33713</v>
      </c>
      <c r="K93" s="230">
        <v>0</v>
      </c>
      <c r="L93" s="230">
        <v>3150494</v>
      </c>
      <c r="M93" s="230">
        <v>199285</v>
      </c>
      <c r="N93" s="229">
        <f t="shared" si="2"/>
        <v>3349779</v>
      </c>
      <c r="O93" s="235">
        <f t="shared" si="3"/>
        <v>33713</v>
      </c>
    </row>
    <row r="94" spans="1:15" ht="13.8" x14ac:dyDescent="0.25">
      <c r="A94" s="191">
        <v>31600</v>
      </c>
      <c r="B94" s="192" t="s">
        <v>310</v>
      </c>
      <c r="C94" s="229">
        <v>46860708</v>
      </c>
      <c r="D94" s="229">
        <v>4222964</v>
      </c>
      <c r="E94" s="229">
        <v>7727109</v>
      </c>
      <c r="F94" s="229"/>
      <c r="G94" s="229">
        <v>702230</v>
      </c>
      <c r="H94" s="229">
        <v>138526</v>
      </c>
      <c r="K94" s="229">
        <v>1348121</v>
      </c>
      <c r="L94" s="229">
        <v>12945393</v>
      </c>
      <c r="M94" s="229">
        <v>-336151</v>
      </c>
      <c r="N94" s="229">
        <f t="shared" si="2"/>
        <v>12609242</v>
      </c>
      <c r="O94" s="235">
        <f t="shared" si="3"/>
        <v>1486647</v>
      </c>
    </row>
    <row r="95" spans="1:15" ht="13.8" x14ac:dyDescent="0.25">
      <c r="A95" s="191">
        <v>31605</v>
      </c>
      <c r="B95" s="192" t="s">
        <v>186</v>
      </c>
      <c r="C95" s="229">
        <v>7760976</v>
      </c>
      <c r="D95" s="229">
        <v>699399</v>
      </c>
      <c r="E95" s="229">
        <v>1279748</v>
      </c>
      <c r="F95" s="229"/>
      <c r="G95" s="229">
        <v>332433</v>
      </c>
      <c r="H95" s="229">
        <v>22942</v>
      </c>
      <c r="K95" s="229">
        <v>0</v>
      </c>
      <c r="L95" s="229">
        <v>2143990</v>
      </c>
      <c r="M95" s="229">
        <v>202884</v>
      </c>
      <c r="N95" s="229">
        <f t="shared" si="2"/>
        <v>2346874</v>
      </c>
      <c r="O95" s="235">
        <f t="shared" si="3"/>
        <v>22942</v>
      </c>
    </row>
    <row r="96" spans="1:15" ht="13.8" x14ac:dyDescent="0.25">
      <c r="A96" s="191">
        <v>31700</v>
      </c>
      <c r="B96" s="192" t="s">
        <v>311</v>
      </c>
      <c r="C96" s="229">
        <v>12002991</v>
      </c>
      <c r="D96" s="229">
        <v>1081678</v>
      </c>
      <c r="E96" s="229">
        <v>1979236</v>
      </c>
      <c r="F96" s="229"/>
      <c r="G96" s="229">
        <v>276945</v>
      </c>
      <c r="H96" s="229">
        <v>35482</v>
      </c>
      <c r="K96" s="229">
        <v>471106</v>
      </c>
      <c r="L96" s="229">
        <v>3315858</v>
      </c>
      <c r="M96" s="229">
        <v>-178860</v>
      </c>
      <c r="N96" s="229">
        <f t="shared" si="2"/>
        <v>3136998</v>
      </c>
      <c r="O96" s="235">
        <f t="shared" si="3"/>
        <v>506588</v>
      </c>
    </row>
    <row r="97" spans="1:15" ht="13.8" x14ac:dyDescent="0.25">
      <c r="A97" s="191">
        <v>31800</v>
      </c>
      <c r="B97" s="192" t="s">
        <v>312</v>
      </c>
      <c r="C97" s="229">
        <v>83158605</v>
      </c>
      <c r="D97" s="229">
        <v>7494035</v>
      </c>
      <c r="E97" s="229">
        <v>13712460</v>
      </c>
      <c r="F97" s="229"/>
      <c r="G97" s="229">
        <v>909912</v>
      </c>
      <c r="H97" s="229">
        <v>245828</v>
      </c>
      <c r="K97" s="229">
        <v>667412</v>
      </c>
      <c r="L97" s="229">
        <v>22972782</v>
      </c>
      <c r="M97" s="229">
        <v>-130021</v>
      </c>
      <c r="N97" s="229">
        <f t="shared" si="2"/>
        <v>22842761</v>
      </c>
      <c r="O97" s="235">
        <f t="shared" si="3"/>
        <v>913240</v>
      </c>
    </row>
    <row r="98" spans="1:15" ht="13.8" x14ac:dyDescent="0.25">
      <c r="A98" s="191">
        <v>31805</v>
      </c>
      <c r="B98" s="192" t="s">
        <v>187</v>
      </c>
      <c r="C98" s="229">
        <v>16585789</v>
      </c>
      <c r="D98" s="229">
        <v>1494668</v>
      </c>
      <c r="E98" s="229">
        <v>2734918</v>
      </c>
      <c r="F98" s="229"/>
      <c r="G98" s="229">
        <v>386235</v>
      </c>
      <c r="H98" s="229">
        <v>49030</v>
      </c>
      <c r="K98" s="229">
        <v>919090</v>
      </c>
      <c r="L98" s="229">
        <v>4581868</v>
      </c>
      <c r="M98" s="229">
        <v>-70493</v>
      </c>
      <c r="N98" s="229">
        <f t="shared" si="2"/>
        <v>4511375</v>
      </c>
      <c r="O98" s="235">
        <f t="shared" si="3"/>
        <v>968120</v>
      </c>
    </row>
    <row r="99" spans="1:15" ht="13.8" x14ac:dyDescent="0.25">
      <c r="A99" s="191">
        <v>31810</v>
      </c>
      <c r="B99" s="192" t="s">
        <v>313</v>
      </c>
      <c r="C99" s="229">
        <v>19852867</v>
      </c>
      <c r="D99" s="229">
        <v>1789088</v>
      </c>
      <c r="E99" s="229">
        <v>3273644</v>
      </c>
      <c r="F99" s="229"/>
      <c r="G99" s="229">
        <v>136169</v>
      </c>
      <c r="H99" s="229">
        <v>58688</v>
      </c>
      <c r="K99" s="229">
        <v>216666</v>
      </c>
      <c r="L99" s="229">
        <v>5484406</v>
      </c>
      <c r="M99" s="229">
        <v>-83858</v>
      </c>
      <c r="N99" s="229">
        <f t="shared" si="2"/>
        <v>5400548</v>
      </c>
      <c r="O99" s="235">
        <f t="shared" si="3"/>
        <v>275354</v>
      </c>
    </row>
    <row r="100" spans="1:15" ht="13.8" x14ac:dyDescent="0.25">
      <c r="A100" s="226">
        <v>31820</v>
      </c>
      <c r="B100" s="227" t="s">
        <v>314</v>
      </c>
      <c r="C100" s="230">
        <v>16037572</v>
      </c>
      <c r="D100" s="230">
        <v>1445264</v>
      </c>
      <c r="E100" s="230">
        <v>2644520</v>
      </c>
      <c r="F100" s="230"/>
      <c r="G100" s="230">
        <v>0</v>
      </c>
      <c r="H100" s="230">
        <v>47409</v>
      </c>
      <c r="K100" s="230">
        <v>556417</v>
      </c>
      <c r="L100" s="230">
        <v>4430421</v>
      </c>
      <c r="M100" s="230">
        <v>-337635</v>
      </c>
      <c r="N100" s="229">
        <f t="shared" si="2"/>
        <v>4092786</v>
      </c>
      <c r="O100" s="235">
        <f t="shared" si="3"/>
        <v>603826</v>
      </c>
    </row>
    <row r="101" spans="1:15" ht="13.8" x14ac:dyDescent="0.25">
      <c r="A101" s="226">
        <v>31900</v>
      </c>
      <c r="B101" s="227" t="s">
        <v>315</v>
      </c>
      <c r="C101" s="230">
        <v>54206816</v>
      </c>
      <c r="D101" s="230">
        <v>4884976</v>
      </c>
      <c r="E101" s="230">
        <v>8938447</v>
      </c>
      <c r="F101" s="230"/>
      <c r="G101" s="230">
        <v>193411</v>
      </c>
      <c r="H101" s="230">
        <v>160242</v>
      </c>
      <c r="K101" s="230">
        <v>1126022</v>
      </c>
      <c r="L101" s="230">
        <v>14974775</v>
      </c>
      <c r="M101" s="230">
        <v>-674962</v>
      </c>
      <c r="N101" s="229">
        <f t="shared" si="2"/>
        <v>14299813</v>
      </c>
      <c r="O101" s="235">
        <f t="shared" si="3"/>
        <v>1286264</v>
      </c>
    </row>
    <row r="102" spans="1:15" ht="13.8" x14ac:dyDescent="0.25">
      <c r="A102" s="226">
        <v>32000</v>
      </c>
      <c r="B102" s="227" t="s">
        <v>316</v>
      </c>
      <c r="C102" s="230">
        <v>19494303</v>
      </c>
      <c r="D102" s="230">
        <v>1756775</v>
      </c>
      <c r="E102" s="230">
        <v>3214518</v>
      </c>
      <c r="F102" s="230"/>
      <c r="G102" s="230">
        <v>154876</v>
      </c>
      <c r="H102" s="230">
        <v>57628</v>
      </c>
      <c r="K102" s="230">
        <v>692041</v>
      </c>
      <c r="L102" s="230">
        <v>5385352</v>
      </c>
      <c r="M102" s="230">
        <v>-479461</v>
      </c>
      <c r="N102" s="229">
        <f t="shared" si="2"/>
        <v>4905891</v>
      </c>
      <c r="O102" s="235">
        <f t="shared" si="3"/>
        <v>749669</v>
      </c>
    </row>
    <row r="103" spans="1:15" ht="13.8" x14ac:dyDescent="0.25">
      <c r="A103" s="226">
        <v>32005</v>
      </c>
      <c r="B103" s="227" t="s">
        <v>229</v>
      </c>
      <c r="C103" s="230">
        <v>5308816</v>
      </c>
      <c r="D103" s="230">
        <v>478416</v>
      </c>
      <c r="E103" s="230">
        <v>875399</v>
      </c>
      <c r="F103" s="230"/>
      <c r="G103" s="230">
        <v>33951</v>
      </c>
      <c r="H103" s="230">
        <v>15694</v>
      </c>
      <c r="K103" s="230">
        <v>101528</v>
      </c>
      <c r="L103" s="230">
        <v>1466574</v>
      </c>
      <c r="M103" s="230">
        <v>60938</v>
      </c>
      <c r="N103" s="229">
        <f t="shared" si="2"/>
        <v>1527512</v>
      </c>
      <c r="O103" s="235">
        <f t="shared" si="3"/>
        <v>117222</v>
      </c>
    </row>
    <row r="104" spans="1:15" ht="13.8" x14ac:dyDescent="0.25">
      <c r="A104" s="226">
        <v>32100</v>
      </c>
      <c r="B104" s="227" t="s">
        <v>317</v>
      </c>
      <c r="C104" s="230">
        <v>10946562</v>
      </c>
      <c r="D104" s="230">
        <v>986475</v>
      </c>
      <c r="E104" s="230">
        <v>1805036</v>
      </c>
      <c r="F104" s="230"/>
      <c r="G104" s="230">
        <v>306776</v>
      </c>
      <c r="H104" s="230">
        <v>32359</v>
      </c>
      <c r="K104" s="230">
        <v>398893</v>
      </c>
      <c r="L104" s="230">
        <v>3024016</v>
      </c>
      <c r="M104" s="230">
        <v>-139981</v>
      </c>
      <c r="N104" s="229">
        <f t="shared" si="2"/>
        <v>2884035</v>
      </c>
      <c r="O104" s="235">
        <f t="shared" si="3"/>
        <v>431252</v>
      </c>
    </row>
    <row r="105" spans="1:15" ht="13.8" x14ac:dyDescent="0.25">
      <c r="A105" s="226">
        <v>32200</v>
      </c>
      <c r="B105" s="227" t="s">
        <v>318</v>
      </c>
      <c r="C105" s="230">
        <v>9018912</v>
      </c>
      <c r="D105" s="230">
        <v>812761</v>
      </c>
      <c r="E105" s="230">
        <v>1487176</v>
      </c>
      <c r="F105" s="230"/>
      <c r="G105" s="230">
        <v>249102</v>
      </c>
      <c r="H105" s="230">
        <v>26661</v>
      </c>
      <c r="K105" s="230">
        <v>88726</v>
      </c>
      <c r="L105" s="230">
        <v>2491498</v>
      </c>
      <c r="M105" s="230">
        <v>67214</v>
      </c>
      <c r="N105" s="229">
        <f t="shared" si="2"/>
        <v>2558712</v>
      </c>
      <c r="O105" s="235">
        <f t="shared" si="3"/>
        <v>115387</v>
      </c>
    </row>
    <row r="106" spans="1:15" ht="13.8" x14ac:dyDescent="0.25">
      <c r="A106" s="191">
        <v>32300</v>
      </c>
      <c r="B106" s="192" t="s">
        <v>319</v>
      </c>
      <c r="C106" s="229">
        <v>80306395</v>
      </c>
      <c r="D106" s="229">
        <v>7237001</v>
      </c>
      <c r="E106" s="229">
        <v>13242144</v>
      </c>
      <c r="F106" s="229"/>
      <c r="G106" s="229">
        <v>649756</v>
      </c>
      <c r="H106" s="229">
        <v>237396</v>
      </c>
      <c r="K106" s="229">
        <v>1288704</v>
      </c>
      <c r="L106" s="229">
        <v>22184851</v>
      </c>
      <c r="M106" s="229">
        <v>-505758</v>
      </c>
      <c r="N106" s="229">
        <f t="shared" si="2"/>
        <v>21679093</v>
      </c>
      <c r="O106" s="235">
        <f t="shared" si="3"/>
        <v>1526100</v>
      </c>
    </row>
    <row r="107" spans="1:15" ht="13.8" x14ac:dyDescent="0.25">
      <c r="A107" s="191">
        <v>32305</v>
      </c>
      <c r="B107" s="192" t="s">
        <v>320</v>
      </c>
      <c r="C107" s="229">
        <v>10545030</v>
      </c>
      <c r="D107" s="229">
        <v>950290</v>
      </c>
      <c r="E107" s="229">
        <v>1738825</v>
      </c>
      <c r="F107" s="229"/>
      <c r="G107" s="229">
        <v>505119</v>
      </c>
      <c r="H107" s="229">
        <v>31172</v>
      </c>
      <c r="K107" s="229">
        <v>0</v>
      </c>
      <c r="L107" s="229">
        <v>2913092</v>
      </c>
      <c r="M107" s="229">
        <v>298800</v>
      </c>
      <c r="N107" s="229">
        <f t="shared" si="2"/>
        <v>3211892</v>
      </c>
      <c r="O107" s="235">
        <f t="shared" si="3"/>
        <v>31172</v>
      </c>
    </row>
    <row r="108" spans="1:15" ht="13.8" x14ac:dyDescent="0.25">
      <c r="A108" s="191">
        <v>32400</v>
      </c>
      <c r="B108" s="192" t="s">
        <v>321</v>
      </c>
      <c r="C108" s="229">
        <v>30150458</v>
      </c>
      <c r="D108" s="229">
        <v>2717080</v>
      </c>
      <c r="E108" s="229">
        <v>4971668</v>
      </c>
      <c r="F108" s="229"/>
      <c r="G108" s="229">
        <v>526387</v>
      </c>
      <c r="H108" s="229">
        <v>89129</v>
      </c>
      <c r="K108" s="229">
        <v>10895</v>
      </c>
      <c r="L108" s="229">
        <v>8329143</v>
      </c>
      <c r="M108" s="229">
        <v>210266</v>
      </c>
      <c r="N108" s="229">
        <f t="shared" si="2"/>
        <v>8539409</v>
      </c>
      <c r="O108" s="235">
        <f t="shared" si="3"/>
        <v>100024</v>
      </c>
    </row>
    <row r="109" spans="1:15" ht="13.8" x14ac:dyDescent="0.25">
      <c r="A109" s="191">
        <v>32405</v>
      </c>
      <c r="B109" s="192" t="s">
        <v>225</v>
      </c>
      <c r="C109" s="229">
        <v>7470569</v>
      </c>
      <c r="D109" s="229">
        <v>673228</v>
      </c>
      <c r="E109" s="229">
        <v>1231861</v>
      </c>
      <c r="F109" s="229"/>
      <c r="G109" s="229">
        <v>159968</v>
      </c>
      <c r="H109" s="229">
        <v>22084</v>
      </c>
      <c r="K109" s="229">
        <v>0</v>
      </c>
      <c r="L109" s="229">
        <v>2063764</v>
      </c>
      <c r="M109" s="229">
        <v>35930</v>
      </c>
      <c r="N109" s="229">
        <f t="shared" si="2"/>
        <v>2099694</v>
      </c>
      <c r="O109" s="235">
        <f t="shared" si="3"/>
        <v>22084</v>
      </c>
    </row>
    <row r="110" spans="1:15" ht="13.8" x14ac:dyDescent="0.25">
      <c r="A110" s="191">
        <v>32410</v>
      </c>
      <c r="B110" s="192" t="s">
        <v>322</v>
      </c>
      <c r="C110" s="229">
        <v>12819390</v>
      </c>
      <c r="D110" s="229">
        <v>1155250</v>
      </c>
      <c r="E110" s="229">
        <v>2113857</v>
      </c>
      <c r="F110" s="229"/>
      <c r="G110" s="229">
        <v>322110</v>
      </c>
      <c r="H110" s="229">
        <v>37896</v>
      </c>
      <c r="K110" s="229">
        <v>212422</v>
      </c>
      <c r="L110" s="229">
        <v>3541390</v>
      </c>
      <c r="M110" s="229">
        <v>172265</v>
      </c>
      <c r="N110" s="229">
        <f t="shared" si="2"/>
        <v>3713655</v>
      </c>
      <c r="O110" s="235">
        <f t="shared" si="3"/>
        <v>250318</v>
      </c>
    </row>
    <row r="111" spans="1:15" ht="13.8" x14ac:dyDescent="0.25">
      <c r="A111" s="191">
        <v>32500</v>
      </c>
      <c r="B111" s="192" t="s">
        <v>323</v>
      </c>
      <c r="C111" s="229">
        <v>69965835</v>
      </c>
      <c r="D111" s="229">
        <v>6305137</v>
      </c>
      <c r="E111" s="229">
        <v>11537035</v>
      </c>
      <c r="F111" s="229"/>
      <c r="G111" s="229">
        <v>412341</v>
      </c>
      <c r="H111" s="229">
        <v>206828</v>
      </c>
      <c r="K111" s="229">
        <v>1165888</v>
      </c>
      <c r="L111" s="229">
        <v>19328245</v>
      </c>
      <c r="M111" s="229">
        <v>-693936</v>
      </c>
      <c r="N111" s="229">
        <f t="shared" si="2"/>
        <v>18634309</v>
      </c>
      <c r="O111" s="235">
        <f t="shared" si="3"/>
        <v>1372716</v>
      </c>
    </row>
    <row r="112" spans="1:15" ht="13.8" x14ac:dyDescent="0.25">
      <c r="A112" s="226">
        <v>32505</v>
      </c>
      <c r="B112" s="227" t="s">
        <v>193</v>
      </c>
      <c r="C112" s="230">
        <v>11620721</v>
      </c>
      <c r="D112" s="230">
        <v>1047229</v>
      </c>
      <c r="E112" s="230">
        <v>1916202</v>
      </c>
      <c r="F112" s="230"/>
      <c r="G112" s="230">
        <v>277692</v>
      </c>
      <c r="H112" s="230">
        <v>34352</v>
      </c>
      <c r="K112" s="230">
        <v>0</v>
      </c>
      <c r="L112" s="230">
        <v>3210254</v>
      </c>
      <c r="M112" s="230">
        <v>211481</v>
      </c>
      <c r="N112" s="229">
        <f t="shared" si="2"/>
        <v>3421735</v>
      </c>
      <c r="O112" s="235">
        <f t="shared" si="3"/>
        <v>34352</v>
      </c>
    </row>
    <row r="113" spans="1:15" ht="13.8" x14ac:dyDescent="0.25">
      <c r="A113" s="226">
        <v>32600</v>
      </c>
      <c r="B113" s="227" t="s">
        <v>324</v>
      </c>
      <c r="C113" s="230">
        <v>244547789</v>
      </c>
      <c r="D113" s="230">
        <v>22038003</v>
      </c>
      <c r="E113" s="230">
        <v>40324772</v>
      </c>
      <c r="F113" s="230"/>
      <c r="G113" s="230">
        <v>3493181</v>
      </c>
      <c r="H113" s="230">
        <v>722915</v>
      </c>
      <c r="K113" s="230">
        <v>12720485</v>
      </c>
      <c r="L113" s="230">
        <v>67556965</v>
      </c>
      <c r="M113" s="230">
        <v>-2961602</v>
      </c>
      <c r="N113" s="229">
        <f t="shared" si="2"/>
        <v>64595363</v>
      </c>
      <c r="O113" s="235">
        <f t="shared" si="3"/>
        <v>13443400</v>
      </c>
    </row>
    <row r="114" spans="1:15" ht="13.8" x14ac:dyDescent="0.25">
      <c r="A114" s="226">
        <v>32605</v>
      </c>
      <c r="B114" s="227" t="s">
        <v>197</v>
      </c>
      <c r="C114" s="230">
        <v>43258773</v>
      </c>
      <c r="D114" s="230">
        <v>3898367</v>
      </c>
      <c r="E114" s="230">
        <v>7133167</v>
      </c>
      <c r="F114" s="230"/>
      <c r="G114" s="230">
        <v>1406602</v>
      </c>
      <c r="H114" s="230">
        <v>127878</v>
      </c>
      <c r="K114" s="230">
        <v>950318</v>
      </c>
      <c r="L114" s="230">
        <v>11950349</v>
      </c>
      <c r="M114" s="230">
        <v>789459</v>
      </c>
      <c r="N114" s="229">
        <f t="shared" si="2"/>
        <v>12739808</v>
      </c>
      <c r="O114" s="235">
        <f t="shared" si="3"/>
        <v>1078196</v>
      </c>
    </row>
    <row r="115" spans="1:15" ht="13.8" x14ac:dyDescent="0.25">
      <c r="A115" s="226">
        <v>32700</v>
      </c>
      <c r="B115" s="227" t="s">
        <v>325</v>
      </c>
      <c r="C115" s="230">
        <v>27521979</v>
      </c>
      <c r="D115" s="230">
        <v>2480208</v>
      </c>
      <c r="E115" s="230">
        <v>4538244</v>
      </c>
      <c r="F115" s="230"/>
      <c r="G115" s="230">
        <v>376989</v>
      </c>
      <c r="H115" s="230">
        <v>81359</v>
      </c>
      <c r="K115" s="230">
        <v>13589</v>
      </c>
      <c r="L115" s="230">
        <v>7603019</v>
      </c>
      <c r="M115" s="230">
        <v>252283</v>
      </c>
      <c r="N115" s="229">
        <f t="shared" si="2"/>
        <v>7855302</v>
      </c>
      <c r="O115" s="235">
        <f t="shared" si="3"/>
        <v>94948</v>
      </c>
    </row>
    <row r="116" spans="1:15" ht="13.8" x14ac:dyDescent="0.25">
      <c r="A116" s="226">
        <v>32800</v>
      </c>
      <c r="B116" s="227" t="s">
        <v>326</v>
      </c>
      <c r="C116" s="230">
        <v>35736346</v>
      </c>
      <c r="D116" s="230">
        <v>3220465</v>
      </c>
      <c r="E116" s="230">
        <v>5892754</v>
      </c>
      <c r="F116" s="230"/>
      <c r="G116" s="230">
        <v>286631</v>
      </c>
      <c r="H116" s="230">
        <v>105641</v>
      </c>
      <c r="K116" s="230">
        <v>231583</v>
      </c>
      <c r="L116" s="230">
        <v>9872259</v>
      </c>
      <c r="M116" s="230">
        <v>-85457</v>
      </c>
      <c r="N116" s="229">
        <f t="shared" si="2"/>
        <v>9786802</v>
      </c>
      <c r="O116" s="235">
        <f t="shared" si="3"/>
        <v>337224</v>
      </c>
    </row>
    <row r="117" spans="1:15" ht="13.8" x14ac:dyDescent="0.25">
      <c r="A117" s="226">
        <v>32900</v>
      </c>
      <c r="B117" s="228" t="s">
        <v>327</v>
      </c>
      <c r="C117" s="230">
        <v>89714985</v>
      </c>
      <c r="D117" s="230">
        <v>8084878</v>
      </c>
      <c r="E117" s="230">
        <v>14793576</v>
      </c>
      <c r="F117" s="230"/>
      <c r="G117" s="230">
        <v>339175</v>
      </c>
      <c r="H117" s="230">
        <v>265209</v>
      </c>
      <c r="K117" s="230">
        <v>991410</v>
      </c>
      <c r="L117" s="230">
        <v>24783999</v>
      </c>
      <c r="M117" s="230">
        <v>-983207</v>
      </c>
      <c r="N117" s="229">
        <f t="shared" si="2"/>
        <v>23800792</v>
      </c>
      <c r="O117" s="235">
        <f t="shared" si="3"/>
        <v>1256619</v>
      </c>
    </row>
    <row r="118" spans="1:15" ht="13.8" x14ac:dyDescent="0.25">
      <c r="A118" s="191">
        <v>32901</v>
      </c>
      <c r="B118" s="192" t="s">
        <v>328</v>
      </c>
      <c r="C118" s="229" t="s">
        <v>573</v>
      </c>
      <c r="D118" s="229" t="s">
        <v>574</v>
      </c>
      <c r="E118" s="229" t="s">
        <v>574</v>
      </c>
      <c r="F118" s="229"/>
      <c r="G118" s="229">
        <v>30007</v>
      </c>
      <c r="H118" s="229" t="s">
        <v>575</v>
      </c>
      <c r="K118" s="229">
        <v>877825</v>
      </c>
      <c r="L118" s="229">
        <v>0</v>
      </c>
      <c r="M118" s="229">
        <v>-476366</v>
      </c>
      <c r="N118" s="229">
        <f t="shared" si="2"/>
        <v>-476366</v>
      </c>
      <c r="O118" s="235">
        <f t="shared" si="3"/>
        <v>877825</v>
      </c>
    </row>
    <row r="119" spans="1:15" ht="13.8" x14ac:dyDescent="0.25">
      <c r="A119" s="191">
        <v>32904</v>
      </c>
      <c r="B119" s="192" t="s">
        <v>329</v>
      </c>
      <c r="C119" s="229">
        <v>1693546</v>
      </c>
      <c r="D119" s="229">
        <v>152618</v>
      </c>
      <c r="E119" s="229">
        <v>279258</v>
      </c>
      <c r="F119" s="229"/>
      <c r="G119" s="229">
        <v>240496</v>
      </c>
      <c r="H119" s="229">
        <v>5006</v>
      </c>
      <c r="K119" s="229">
        <v>0</v>
      </c>
      <c r="L119" s="229">
        <v>467847</v>
      </c>
      <c r="M119" s="229">
        <v>165247</v>
      </c>
      <c r="N119" s="229">
        <f t="shared" si="2"/>
        <v>633094</v>
      </c>
      <c r="O119" s="235">
        <f t="shared" si="3"/>
        <v>5006</v>
      </c>
    </row>
    <row r="120" spans="1:15" ht="13.8" x14ac:dyDescent="0.25">
      <c r="A120" s="191">
        <v>32905</v>
      </c>
      <c r="B120" s="192" t="s">
        <v>194</v>
      </c>
      <c r="C120" s="229">
        <v>13074237</v>
      </c>
      <c r="D120" s="229">
        <v>1178216</v>
      </c>
      <c r="E120" s="229">
        <v>2155880</v>
      </c>
      <c r="F120" s="229"/>
      <c r="G120" s="229">
        <v>242244</v>
      </c>
      <c r="H120" s="229">
        <v>38649</v>
      </c>
      <c r="K120" s="229">
        <v>0</v>
      </c>
      <c r="L120" s="229">
        <v>3611792</v>
      </c>
      <c r="M120" s="229">
        <v>162856</v>
      </c>
      <c r="N120" s="229">
        <f t="shared" si="2"/>
        <v>3774648</v>
      </c>
      <c r="O120" s="235">
        <f t="shared" si="3"/>
        <v>38649</v>
      </c>
    </row>
    <row r="121" spans="1:15" ht="13.8" x14ac:dyDescent="0.25">
      <c r="A121" s="191">
        <v>32910</v>
      </c>
      <c r="B121" s="192" t="s">
        <v>331</v>
      </c>
      <c r="C121" s="229">
        <v>16507261</v>
      </c>
      <c r="D121" s="229">
        <v>1487591</v>
      </c>
      <c r="E121" s="229">
        <v>2721969</v>
      </c>
      <c r="F121" s="229"/>
      <c r="G121" s="229">
        <v>173253</v>
      </c>
      <c r="H121" s="229">
        <v>48798</v>
      </c>
      <c r="K121" s="229">
        <v>685023</v>
      </c>
      <c r="L121" s="229">
        <v>4560174</v>
      </c>
      <c r="M121" s="229">
        <v>-260562</v>
      </c>
      <c r="N121" s="229">
        <f t="shared" si="2"/>
        <v>4299612</v>
      </c>
      <c r="O121" s="235">
        <f t="shared" si="3"/>
        <v>733821</v>
      </c>
    </row>
    <row r="122" spans="1:15" ht="13.8" x14ac:dyDescent="0.25">
      <c r="A122" s="191">
        <v>32915</v>
      </c>
      <c r="B122" s="192" t="s">
        <v>496</v>
      </c>
      <c r="C122" s="229">
        <v>2263988</v>
      </c>
      <c r="D122" s="229">
        <v>204025</v>
      </c>
      <c r="E122" s="229">
        <v>373321</v>
      </c>
      <c r="F122" s="229"/>
      <c r="G122" s="229">
        <v>210245</v>
      </c>
      <c r="H122" s="229">
        <v>6693</v>
      </c>
      <c r="K122" s="229">
        <v>0</v>
      </c>
      <c r="L122" s="229">
        <v>625433</v>
      </c>
      <c r="M122" s="229">
        <v>310656</v>
      </c>
      <c r="N122" s="229">
        <f t="shared" si="2"/>
        <v>936089</v>
      </c>
      <c r="O122" s="235">
        <f t="shared" si="3"/>
        <v>6693</v>
      </c>
    </row>
    <row r="123" spans="1:15" ht="13.8" x14ac:dyDescent="0.25">
      <c r="A123" s="191">
        <v>32920</v>
      </c>
      <c r="B123" s="192" t="s">
        <v>333</v>
      </c>
      <c r="C123" s="229">
        <v>12083001</v>
      </c>
      <c r="D123" s="229">
        <v>1088888</v>
      </c>
      <c r="E123" s="229">
        <v>1992430</v>
      </c>
      <c r="F123" s="229"/>
      <c r="G123" s="229">
        <v>0</v>
      </c>
      <c r="H123" s="229">
        <v>35719</v>
      </c>
      <c r="K123" s="229">
        <v>1127343</v>
      </c>
      <c r="L123" s="229">
        <v>3337961</v>
      </c>
      <c r="M123" s="229">
        <v>-731969</v>
      </c>
      <c r="N123" s="229">
        <f t="shared" si="2"/>
        <v>2605992</v>
      </c>
      <c r="O123" s="235">
        <f t="shared" si="3"/>
        <v>1163062</v>
      </c>
    </row>
    <row r="124" spans="1:15" ht="13.8" x14ac:dyDescent="0.25">
      <c r="A124" s="226">
        <v>33000</v>
      </c>
      <c r="B124" s="228" t="s">
        <v>334</v>
      </c>
      <c r="C124" s="230">
        <v>34328761</v>
      </c>
      <c r="D124" s="230">
        <v>3093618</v>
      </c>
      <c r="E124" s="230">
        <v>5660650</v>
      </c>
      <c r="F124" s="230"/>
      <c r="G124" s="230">
        <v>316400</v>
      </c>
      <c r="H124" s="230">
        <v>101480</v>
      </c>
      <c r="K124" s="230">
        <v>28360</v>
      </c>
      <c r="L124" s="230">
        <v>9483410</v>
      </c>
      <c r="M124" s="230">
        <v>-307750</v>
      </c>
      <c r="N124" s="229">
        <f t="shared" si="2"/>
        <v>9175660</v>
      </c>
      <c r="O124" s="235">
        <f t="shared" si="3"/>
        <v>129840</v>
      </c>
    </row>
    <row r="125" spans="1:15" ht="13.8" x14ac:dyDescent="0.25">
      <c r="A125" s="226">
        <v>33001</v>
      </c>
      <c r="B125" s="227" t="s">
        <v>497</v>
      </c>
      <c r="C125" s="230">
        <v>432647</v>
      </c>
      <c r="D125" s="230">
        <v>38989</v>
      </c>
      <c r="E125" s="230">
        <v>71341</v>
      </c>
      <c r="F125" s="230"/>
      <c r="G125" s="230">
        <v>2311</v>
      </c>
      <c r="H125" s="230">
        <v>1279</v>
      </c>
      <c r="K125" s="230">
        <v>101219</v>
      </c>
      <c r="L125" s="230">
        <v>119520</v>
      </c>
      <c r="M125" s="230">
        <v>-65858</v>
      </c>
      <c r="N125" s="229">
        <f t="shared" si="2"/>
        <v>53662</v>
      </c>
      <c r="O125" s="235">
        <f t="shared" si="3"/>
        <v>102498</v>
      </c>
    </row>
    <row r="126" spans="1:15" ht="13.8" x14ac:dyDescent="0.25">
      <c r="A126" s="226">
        <v>33027</v>
      </c>
      <c r="B126" s="227" t="s">
        <v>336</v>
      </c>
      <c r="C126" s="230">
        <v>5754798</v>
      </c>
      <c r="D126" s="230">
        <v>518607</v>
      </c>
      <c r="E126" s="230">
        <v>948939</v>
      </c>
      <c r="F126" s="230"/>
      <c r="G126" s="230">
        <v>11552</v>
      </c>
      <c r="H126" s="230">
        <v>17012</v>
      </c>
      <c r="K126" s="230">
        <v>75874</v>
      </c>
      <c r="L126" s="230">
        <v>1589778</v>
      </c>
      <c r="M126" s="230">
        <v>-13904</v>
      </c>
      <c r="N126" s="229">
        <f t="shared" si="2"/>
        <v>1575874</v>
      </c>
      <c r="O126" s="235">
        <f t="shared" si="3"/>
        <v>92886</v>
      </c>
    </row>
    <row r="127" spans="1:15" ht="13.8" x14ac:dyDescent="0.25">
      <c r="A127" s="226">
        <v>33100</v>
      </c>
      <c r="B127" s="227" t="s">
        <v>337</v>
      </c>
      <c r="C127" s="230">
        <v>48174947</v>
      </c>
      <c r="D127" s="230">
        <v>4341399</v>
      </c>
      <c r="E127" s="230">
        <v>7943820</v>
      </c>
      <c r="F127" s="230"/>
      <c r="G127" s="230">
        <v>530545</v>
      </c>
      <c r="H127" s="230">
        <v>142411</v>
      </c>
      <c r="K127" s="230">
        <v>309080</v>
      </c>
      <c r="L127" s="230">
        <v>13308455</v>
      </c>
      <c r="M127" s="230">
        <v>41806</v>
      </c>
      <c r="N127" s="229">
        <f t="shared" si="2"/>
        <v>13350261</v>
      </c>
      <c r="O127" s="235">
        <f t="shared" si="3"/>
        <v>451491</v>
      </c>
    </row>
    <row r="128" spans="1:15" ht="13.8" x14ac:dyDescent="0.25">
      <c r="A128" s="226">
        <v>33105</v>
      </c>
      <c r="B128" s="227" t="s">
        <v>204</v>
      </c>
      <c r="C128" s="230">
        <v>5843698</v>
      </c>
      <c r="D128" s="230">
        <v>526619</v>
      </c>
      <c r="E128" s="230">
        <v>963598</v>
      </c>
      <c r="F128" s="230"/>
      <c r="G128" s="230">
        <v>167596</v>
      </c>
      <c r="H128" s="230">
        <v>17275</v>
      </c>
      <c r="K128" s="230">
        <v>177434</v>
      </c>
      <c r="L128" s="230">
        <v>1614337</v>
      </c>
      <c r="M128" s="230">
        <v>47948</v>
      </c>
      <c r="N128" s="229">
        <f t="shared" si="2"/>
        <v>1662285</v>
      </c>
      <c r="O128" s="235">
        <f t="shared" si="3"/>
        <v>194709</v>
      </c>
    </row>
    <row r="129" spans="1:15" ht="13.8" x14ac:dyDescent="0.25">
      <c r="A129" s="226">
        <v>33200</v>
      </c>
      <c r="B129" s="228" t="s">
        <v>338</v>
      </c>
      <c r="C129" s="230">
        <v>231400950</v>
      </c>
      <c r="D129" s="230">
        <v>20853244</v>
      </c>
      <c r="E129" s="230">
        <v>38156920</v>
      </c>
      <c r="F129" s="230"/>
      <c r="G129" s="230">
        <v>0</v>
      </c>
      <c r="H129" s="230">
        <v>684051</v>
      </c>
      <c r="K129" s="230">
        <v>5485921</v>
      </c>
      <c r="L129" s="230">
        <v>63925117</v>
      </c>
      <c r="M129" s="230">
        <v>-4515432</v>
      </c>
      <c r="N129" s="229">
        <f t="shared" si="2"/>
        <v>59409685</v>
      </c>
      <c r="O129" s="235">
        <f t="shared" si="3"/>
        <v>6169972</v>
      </c>
    </row>
    <row r="130" spans="1:15" ht="13.8" x14ac:dyDescent="0.25">
      <c r="A130" s="191">
        <v>33202</v>
      </c>
      <c r="B130" s="192" t="s">
        <v>498</v>
      </c>
      <c r="C130" s="229">
        <v>4172377</v>
      </c>
      <c r="D130" s="229">
        <v>376004</v>
      </c>
      <c r="E130" s="229">
        <v>688005</v>
      </c>
      <c r="F130" s="229"/>
      <c r="G130" s="229">
        <v>60683</v>
      </c>
      <c r="H130" s="229">
        <v>12334</v>
      </c>
      <c r="K130" s="229">
        <v>497576</v>
      </c>
      <c r="L130" s="229">
        <v>1152630</v>
      </c>
      <c r="M130" s="229">
        <v>-202374</v>
      </c>
      <c r="N130" s="229">
        <f t="shared" si="2"/>
        <v>950256</v>
      </c>
      <c r="O130" s="235">
        <f t="shared" si="3"/>
        <v>509910</v>
      </c>
    </row>
    <row r="131" spans="1:15" ht="13.8" x14ac:dyDescent="0.25">
      <c r="A131" s="191">
        <v>33203</v>
      </c>
      <c r="B131" s="192" t="s">
        <v>340</v>
      </c>
      <c r="C131" s="229">
        <v>4711704</v>
      </c>
      <c r="D131" s="229">
        <v>424606</v>
      </c>
      <c r="E131" s="229">
        <v>776938</v>
      </c>
      <c r="F131" s="229"/>
      <c r="G131" s="229">
        <v>348317</v>
      </c>
      <c r="H131" s="229">
        <v>13928</v>
      </c>
      <c r="K131" s="229">
        <v>0</v>
      </c>
      <c r="L131" s="229">
        <v>1301620</v>
      </c>
      <c r="M131" s="229">
        <v>222894</v>
      </c>
      <c r="N131" s="229">
        <f t="shared" si="2"/>
        <v>1524514</v>
      </c>
      <c r="O131" s="235">
        <f t="shared" si="3"/>
        <v>13928</v>
      </c>
    </row>
    <row r="132" spans="1:15" ht="13.8" x14ac:dyDescent="0.25">
      <c r="A132" s="191">
        <v>33204</v>
      </c>
      <c r="B132" s="192" t="s">
        <v>341</v>
      </c>
      <c r="C132" s="229">
        <v>7251282</v>
      </c>
      <c r="D132" s="229">
        <v>653466</v>
      </c>
      <c r="E132" s="229">
        <v>1195702</v>
      </c>
      <c r="F132" s="229"/>
      <c r="G132" s="229">
        <v>56902</v>
      </c>
      <c r="H132" s="229">
        <v>21436</v>
      </c>
      <c r="K132" s="229">
        <v>166511</v>
      </c>
      <c r="L132" s="229">
        <v>2003186</v>
      </c>
      <c r="M132" s="229">
        <v>-59036</v>
      </c>
      <c r="N132" s="229">
        <f t="shared" si="2"/>
        <v>1944150</v>
      </c>
      <c r="O132" s="235">
        <f t="shared" si="3"/>
        <v>187947</v>
      </c>
    </row>
    <row r="133" spans="1:15" ht="13.8" x14ac:dyDescent="0.25">
      <c r="A133" s="191">
        <v>33205</v>
      </c>
      <c r="B133" s="192" t="s">
        <v>195</v>
      </c>
      <c r="C133" s="229">
        <v>20577402</v>
      </c>
      <c r="D133" s="229">
        <v>1854381</v>
      </c>
      <c r="E133" s="229">
        <v>3393116</v>
      </c>
      <c r="F133" s="229"/>
      <c r="G133" s="229">
        <v>804602</v>
      </c>
      <c r="H133" s="229">
        <v>60829</v>
      </c>
      <c r="K133" s="229">
        <v>0</v>
      </c>
      <c r="L133" s="229">
        <v>5684561</v>
      </c>
      <c r="M133" s="229">
        <v>576144</v>
      </c>
      <c r="N133" s="229">
        <f t="shared" ref="N133:N196" si="4">L133+M133</f>
        <v>6260705</v>
      </c>
      <c r="O133" s="235">
        <f t="shared" ref="O133:O196" si="5">SUM(H133:K133)</f>
        <v>60829</v>
      </c>
    </row>
    <row r="134" spans="1:15" ht="13.8" x14ac:dyDescent="0.25">
      <c r="A134" s="191">
        <v>33206</v>
      </c>
      <c r="B134" s="192" t="s">
        <v>342</v>
      </c>
      <c r="C134" s="229">
        <v>1969137</v>
      </c>
      <c r="D134" s="229">
        <v>177453</v>
      </c>
      <c r="E134" s="229">
        <v>324701</v>
      </c>
      <c r="F134" s="229"/>
      <c r="G134" s="229">
        <v>78698</v>
      </c>
      <c r="H134" s="229">
        <v>5821</v>
      </c>
      <c r="K134" s="229">
        <v>17949</v>
      </c>
      <c r="L134" s="229">
        <v>543979</v>
      </c>
      <c r="M134" s="229">
        <v>58909</v>
      </c>
      <c r="N134" s="229">
        <f t="shared" si="4"/>
        <v>602888</v>
      </c>
      <c r="O134" s="235">
        <f t="shared" si="5"/>
        <v>23770</v>
      </c>
    </row>
    <row r="135" spans="1:15" ht="13.8" x14ac:dyDescent="0.25">
      <c r="A135" s="191">
        <v>33207</v>
      </c>
      <c r="B135" s="192" t="s">
        <v>343</v>
      </c>
      <c r="C135" s="229">
        <v>7639479</v>
      </c>
      <c r="D135" s="229">
        <v>688450</v>
      </c>
      <c r="E135" s="229">
        <v>1259714</v>
      </c>
      <c r="F135" s="229"/>
      <c r="G135" s="229">
        <v>0</v>
      </c>
      <c r="H135" s="229">
        <v>22583</v>
      </c>
      <c r="K135" s="229">
        <v>850540</v>
      </c>
      <c r="L135" s="229">
        <v>2110426</v>
      </c>
      <c r="M135" s="229">
        <v>-380441</v>
      </c>
      <c r="N135" s="229">
        <f t="shared" si="4"/>
        <v>1729985</v>
      </c>
      <c r="O135" s="235">
        <f t="shared" si="5"/>
        <v>873123</v>
      </c>
    </row>
    <row r="136" spans="1:15" ht="13.8" x14ac:dyDescent="0.25">
      <c r="A136" s="226">
        <v>33300</v>
      </c>
      <c r="B136" s="227" t="s">
        <v>344</v>
      </c>
      <c r="C136" s="230">
        <v>32867837</v>
      </c>
      <c r="D136" s="230">
        <v>2961963</v>
      </c>
      <c r="E136" s="230">
        <v>5419751</v>
      </c>
      <c r="F136" s="230"/>
      <c r="G136" s="230">
        <v>253036</v>
      </c>
      <c r="H136" s="230">
        <v>97162</v>
      </c>
      <c r="K136" s="230">
        <v>362385</v>
      </c>
      <c r="L136" s="230">
        <v>9079826</v>
      </c>
      <c r="M136" s="230">
        <v>-267052</v>
      </c>
      <c r="N136" s="229">
        <f t="shared" si="4"/>
        <v>8812774</v>
      </c>
      <c r="O136" s="235">
        <f t="shared" si="5"/>
        <v>459547</v>
      </c>
    </row>
    <row r="137" spans="1:15" ht="13.8" x14ac:dyDescent="0.25">
      <c r="A137" s="226">
        <v>33305</v>
      </c>
      <c r="B137" s="227" t="s">
        <v>196</v>
      </c>
      <c r="C137" s="230">
        <v>6949022</v>
      </c>
      <c r="D137" s="230">
        <v>626228</v>
      </c>
      <c r="E137" s="230">
        <v>1145861</v>
      </c>
      <c r="F137" s="230"/>
      <c r="G137" s="230">
        <v>309354</v>
      </c>
      <c r="H137" s="230">
        <v>20542</v>
      </c>
      <c r="K137" s="230">
        <v>0</v>
      </c>
      <c r="L137" s="230">
        <v>1919685</v>
      </c>
      <c r="M137" s="230">
        <v>106631</v>
      </c>
      <c r="N137" s="229">
        <f t="shared" si="4"/>
        <v>2026316</v>
      </c>
      <c r="O137" s="235">
        <f t="shared" si="5"/>
        <v>20542</v>
      </c>
    </row>
    <row r="138" spans="1:15" ht="13.8" x14ac:dyDescent="0.25">
      <c r="A138" s="226">
        <v>33400</v>
      </c>
      <c r="B138" s="227" t="s">
        <v>345</v>
      </c>
      <c r="C138" s="230">
        <v>320575127</v>
      </c>
      <c r="D138" s="230">
        <v>28889386</v>
      </c>
      <c r="E138" s="230">
        <v>52861320</v>
      </c>
      <c r="F138" s="230"/>
      <c r="G138" s="230">
        <v>3493443</v>
      </c>
      <c r="H138" s="230">
        <v>947661</v>
      </c>
      <c r="K138" s="230">
        <v>0</v>
      </c>
      <c r="L138" s="230">
        <v>88559716</v>
      </c>
      <c r="M138" s="230">
        <v>1773031</v>
      </c>
      <c r="N138" s="229">
        <f t="shared" si="4"/>
        <v>90332747</v>
      </c>
      <c r="O138" s="235">
        <f t="shared" si="5"/>
        <v>947661</v>
      </c>
    </row>
    <row r="139" spans="1:15" ht="13.8" x14ac:dyDescent="0.25">
      <c r="A139" s="226">
        <v>33402</v>
      </c>
      <c r="B139" s="227" t="s">
        <v>346</v>
      </c>
      <c r="C139" s="230">
        <v>2917404</v>
      </c>
      <c r="D139" s="230">
        <v>262909</v>
      </c>
      <c r="E139" s="230">
        <v>481066</v>
      </c>
      <c r="F139" s="230"/>
      <c r="G139" s="230">
        <v>5509</v>
      </c>
      <c r="H139" s="230">
        <v>8624</v>
      </c>
      <c r="K139" s="230">
        <v>104986</v>
      </c>
      <c r="L139" s="230">
        <v>805940</v>
      </c>
      <c r="M139" s="230">
        <v>-69799</v>
      </c>
      <c r="N139" s="229">
        <f t="shared" si="4"/>
        <v>736141</v>
      </c>
      <c r="O139" s="235">
        <f t="shared" si="5"/>
        <v>113610</v>
      </c>
    </row>
    <row r="140" spans="1:15" ht="13.8" x14ac:dyDescent="0.25">
      <c r="A140" s="226">
        <v>33405</v>
      </c>
      <c r="B140" s="227" t="s">
        <v>198</v>
      </c>
      <c r="C140" s="230">
        <v>30429012</v>
      </c>
      <c r="D140" s="230">
        <v>2742182</v>
      </c>
      <c r="E140" s="230">
        <v>5017600</v>
      </c>
      <c r="F140" s="230"/>
      <c r="G140" s="230">
        <v>1346933</v>
      </c>
      <c r="H140" s="230">
        <v>89952</v>
      </c>
      <c r="K140" s="230">
        <v>86322</v>
      </c>
      <c r="L140" s="230">
        <v>8406094</v>
      </c>
      <c r="M140" s="230">
        <v>810672</v>
      </c>
      <c r="N140" s="229">
        <f t="shared" si="4"/>
        <v>9216766</v>
      </c>
      <c r="O140" s="235">
        <f t="shared" si="5"/>
        <v>176274</v>
      </c>
    </row>
    <row r="141" spans="1:15" ht="13.8" x14ac:dyDescent="0.25">
      <c r="A141" s="226">
        <v>33500</v>
      </c>
      <c r="B141" s="227" t="s">
        <v>348</v>
      </c>
      <c r="C141" s="230">
        <v>44273716</v>
      </c>
      <c r="D141" s="230">
        <v>3989831</v>
      </c>
      <c r="E141" s="230">
        <v>7300526</v>
      </c>
      <c r="F141" s="230"/>
      <c r="G141" s="230">
        <v>198582</v>
      </c>
      <c r="H141" s="230">
        <v>130879</v>
      </c>
      <c r="K141" s="230">
        <v>908674</v>
      </c>
      <c r="L141" s="230">
        <v>12230730</v>
      </c>
      <c r="M141" s="230">
        <v>-639577</v>
      </c>
      <c r="N141" s="229">
        <f t="shared" si="4"/>
        <v>11591153</v>
      </c>
      <c r="O141" s="235">
        <f t="shared" si="5"/>
        <v>1039553</v>
      </c>
    </row>
    <row r="142" spans="1:15" ht="13.8" x14ac:dyDescent="0.25">
      <c r="A142" s="191">
        <v>33501</v>
      </c>
      <c r="B142" s="192" t="s">
        <v>349</v>
      </c>
      <c r="C142" s="229">
        <v>1855048</v>
      </c>
      <c r="D142" s="229">
        <v>167172</v>
      </c>
      <c r="E142" s="229">
        <v>305889</v>
      </c>
      <c r="F142" s="229"/>
      <c r="G142" s="229">
        <v>88897</v>
      </c>
      <c r="H142" s="229">
        <v>5484</v>
      </c>
      <c r="K142" s="229">
        <v>47008</v>
      </c>
      <c r="L142" s="229">
        <v>512462</v>
      </c>
      <c r="M142" s="229">
        <v>48693</v>
      </c>
      <c r="N142" s="229">
        <f t="shared" si="4"/>
        <v>561155</v>
      </c>
      <c r="O142" s="235">
        <f t="shared" si="5"/>
        <v>52492</v>
      </c>
    </row>
    <row r="143" spans="1:15" ht="13.8" x14ac:dyDescent="0.25">
      <c r="A143" s="191">
        <v>33600</v>
      </c>
      <c r="B143" s="192" t="s">
        <v>350</v>
      </c>
      <c r="C143" s="229">
        <v>151785013</v>
      </c>
      <c r="D143" s="229">
        <v>13678466</v>
      </c>
      <c r="E143" s="229">
        <v>25028629</v>
      </c>
      <c r="F143" s="229"/>
      <c r="G143" s="229">
        <v>0</v>
      </c>
      <c r="H143" s="229">
        <v>448696</v>
      </c>
      <c r="K143" s="229">
        <v>5899121</v>
      </c>
      <c r="L143" s="229">
        <v>41931006</v>
      </c>
      <c r="M143" s="229">
        <v>-4424402</v>
      </c>
      <c r="N143" s="229">
        <f t="shared" si="4"/>
        <v>37506604</v>
      </c>
      <c r="O143" s="235">
        <f t="shared" si="5"/>
        <v>6347817</v>
      </c>
    </row>
    <row r="144" spans="1:15" ht="13.8" x14ac:dyDescent="0.25">
      <c r="A144" s="191">
        <v>33605</v>
      </c>
      <c r="B144" s="192" t="s">
        <v>199</v>
      </c>
      <c r="C144" s="229">
        <v>19950657</v>
      </c>
      <c r="D144" s="229">
        <v>1797901</v>
      </c>
      <c r="E144" s="229">
        <v>3289769</v>
      </c>
      <c r="F144" s="229"/>
      <c r="G144" s="229">
        <v>1211582</v>
      </c>
      <c r="H144" s="229">
        <v>58977</v>
      </c>
      <c r="K144" s="229">
        <v>0</v>
      </c>
      <c r="L144" s="229">
        <v>5511421</v>
      </c>
      <c r="M144" s="229">
        <v>768934</v>
      </c>
      <c r="N144" s="229">
        <f t="shared" si="4"/>
        <v>6280355</v>
      </c>
      <c r="O144" s="235">
        <f t="shared" si="5"/>
        <v>58977</v>
      </c>
    </row>
    <row r="145" spans="1:15" ht="13.8" x14ac:dyDescent="0.25">
      <c r="A145" s="191">
        <v>33700</v>
      </c>
      <c r="B145" s="192" t="s">
        <v>351</v>
      </c>
      <c r="C145" s="229">
        <v>10269440</v>
      </c>
      <c r="D145" s="229">
        <v>925455</v>
      </c>
      <c r="E145" s="229">
        <v>1693382</v>
      </c>
      <c r="F145" s="229"/>
      <c r="G145" s="229">
        <v>121730</v>
      </c>
      <c r="H145" s="229">
        <v>30358</v>
      </c>
      <c r="K145" s="229">
        <v>627486</v>
      </c>
      <c r="L145" s="229">
        <v>2836959</v>
      </c>
      <c r="M145" s="229">
        <v>-232840</v>
      </c>
      <c r="N145" s="229">
        <f t="shared" si="4"/>
        <v>2604119</v>
      </c>
      <c r="O145" s="235">
        <f t="shared" si="5"/>
        <v>657844</v>
      </c>
    </row>
    <row r="146" spans="1:15" ht="13.8" x14ac:dyDescent="0.25">
      <c r="A146" s="191">
        <v>33800</v>
      </c>
      <c r="B146" s="192" t="s">
        <v>352</v>
      </c>
      <c r="C146" s="229">
        <v>8285486</v>
      </c>
      <c r="D146" s="229">
        <v>746666</v>
      </c>
      <c r="E146" s="229">
        <v>1366237</v>
      </c>
      <c r="F146" s="229"/>
      <c r="G146" s="229">
        <v>295960</v>
      </c>
      <c r="H146" s="229">
        <v>24493</v>
      </c>
      <c r="K146" s="229">
        <v>261578</v>
      </c>
      <c r="L146" s="229">
        <v>2288887</v>
      </c>
      <c r="M146" s="229">
        <v>8244</v>
      </c>
      <c r="N146" s="229">
        <f t="shared" si="4"/>
        <v>2297131</v>
      </c>
      <c r="O146" s="235">
        <f t="shared" si="5"/>
        <v>286071</v>
      </c>
    </row>
    <row r="147" spans="1:15" ht="13.8" x14ac:dyDescent="0.25">
      <c r="A147" s="191">
        <v>33900</v>
      </c>
      <c r="B147" s="192" t="s">
        <v>545</v>
      </c>
      <c r="C147" s="229">
        <v>35739309</v>
      </c>
      <c r="D147" s="229">
        <v>3220732</v>
      </c>
      <c r="E147" s="229">
        <v>5893243</v>
      </c>
      <c r="F147" s="229"/>
      <c r="G147" s="229">
        <v>239057</v>
      </c>
      <c r="H147" s="229">
        <v>105650</v>
      </c>
      <c r="K147" s="229">
        <v>90433</v>
      </c>
      <c r="L147" s="229">
        <v>9873077</v>
      </c>
      <c r="M147" s="229">
        <v>-392158</v>
      </c>
      <c r="N147" s="229">
        <f t="shared" si="4"/>
        <v>9480919</v>
      </c>
      <c r="O147" s="235">
        <f t="shared" si="5"/>
        <v>196083</v>
      </c>
    </row>
    <row r="148" spans="1:15" ht="13.8" x14ac:dyDescent="0.25">
      <c r="A148" s="226">
        <v>34000</v>
      </c>
      <c r="B148" s="227" t="s">
        <v>354</v>
      </c>
      <c r="C148" s="230">
        <v>19772857</v>
      </c>
      <c r="D148" s="230">
        <v>1781878</v>
      </c>
      <c r="E148" s="230">
        <v>3260450</v>
      </c>
      <c r="F148" s="230"/>
      <c r="G148" s="230">
        <v>574477</v>
      </c>
      <c r="H148" s="230">
        <v>58451</v>
      </c>
      <c r="K148" s="230">
        <v>102113</v>
      </c>
      <c r="L148" s="230">
        <v>5462303</v>
      </c>
      <c r="M148" s="230">
        <v>192812</v>
      </c>
      <c r="N148" s="229">
        <f t="shared" si="4"/>
        <v>5655115</v>
      </c>
      <c r="O148" s="235">
        <f t="shared" si="5"/>
        <v>160564</v>
      </c>
    </row>
    <row r="149" spans="1:15" ht="13.8" x14ac:dyDescent="0.25">
      <c r="A149" s="226">
        <v>34100</v>
      </c>
      <c r="B149" s="227" t="s">
        <v>355</v>
      </c>
      <c r="C149" s="230">
        <v>415803398</v>
      </c>
      <c r="D149" s="230">
        <v>37471107</v>
      </c>
      <c r="E149" s="230">
        <v>68564010</v>
      </c>
      <c r="F149" s="230"/>
      <c r="G149" s="230">
        <v>0</v>
      </c>
      <c r="H149" s="230">
        <v>1229168</v>
      </c>
      <c r="K149" s="230">
        <v>5410921</v>
      </c>
      <c r="L149" s="230">
        <v>114866775</v>
      </c>
      <c r="M149" s="230">
        <v>-5220375</v>
      </c>
      <c r="N149" s="229">
        <f t="shared" si="4"/>
        <v>109646400</v>
      </c>
      <c r="O149" s="235">
        <f t="shared" si="5"/>
        <v>6640089</v>
      </c>
    </row>
    <row r="150" spans="1:15" ht="13.8" x14ac:dyDescent="0.25">
      <c r="A150" s="226">
        <v>34105</v>
      </c>
      <c r="B150" s="227" t="s">
        <v>200</v>
      </c>
      <c r="C150" s="230">
        <v>32316656</v>
      </c>
      <c r="D150" s="230">
        <v>2912292</v>
      </c>
      <c r="E150" s="230">
        <v>5328864</v>
      </c>
      <c r="F150" s="230"/>
      <c r="G150" s="230">
        <v>1285154</v>
      </c>
      <c r="H150" s="230">
        <v>95532</v>
      </c>
      <c r="K150" s="230">
        <v>65199</v>
      </c>
      <c r="L150" s="230">
        <v>8927561</v>
      </c>
      <c r="M150" s="230">
        <v>672748</v>
      </c>
      <c r="N150" s="229">
        <f t="shared" si="4"/>
        <v>9600309</v>
      </c>
      <c r="O150" s="235">
        <f t="shared" si="5"/>
        <v>160731</v>
      </c>
    </row>
    <row r="151" spans="1:15" ht="13.8" x14ac:dyDescent="0.25">
      <c r="A151" s="226">
        <v>34200</v>
      </c>
      <c r="B151" s="227" t="s">
        <v>356</v>
      </c>
      <c r="C151" s="230">
        <v>10913965</v>
      </c>
      <c r="D151" s="230">
        <v>983538</v>
      </c>
      <c r="E151" s="230">
        <v>1799661</v>
      </c>
      <c r="F151" s="230"/>
      <c r="G151" s="230">
        <v>210012</v>
      </c>
      <c r="H151" s="230">
        <v>32263</v>
      </c>
      <c r="K151" s="230">
        <v>715443</v>
      </c>
      <c r="L151" s="230">
        <v>3015011</v>
      </c>
      <c r="M151" s="230">
        <v>-327344</v>
      </c>
      <c r="N151" s="229">
        <f t="shared" si="4"/>
        <v>2687667</v>
      </c>
      <c r="O151" s="235">
        <f t="shared" si="5"/>
        <v>747706</v>
      </c>
    </row>
    <row r="152" spans="1:15" ht="13.8" x14ac:dyDescent="0.25">
      <c r="A152" s="226">
        <v>34205</v>
      </c>
      <c r="B152" s="227" t="s">
        <v>201</v>
      </c>
      <c r="C152" s="230">
        <v>4298318</v>
      </c>
      <c r="D152" s="230">
        <v>387353</v>
      </c>
      <c r="E152" s="230">
        <v>708772</v>
      </c>
      <c r="F152" s="230"/>
      <c r="G152" s="230">
        <v>0</v>
      </c>
      <c r="H152" s="230">
        <v>12706</v>
      </c>
      <c r="K152" s="230">
        <v>426398</v>
      </c>
      <c r="L152" s="230">
        <v>1187422</v>
      </c>
      <c r="M152" s="230">
        <v>-150288</v>
      </c>
      <c r="N152" s="229">
        <f t="shared" si="4"/>
        <v>1037134</v>
      </c>
      <c r="O152" s="235">
        <f t="shared" si="5"/>
        <v>439104</v>
      </c>
    </row>
    <row r="153" spans="1:15" ht="13.8" x14ac:dyDescent="0.25">
      <c r="A153" s="226">
        <v>34220</v>
      </c>
      <c r="B153" s="227" t="s">
        <v>357</v>
      </c>
      <c r="C153" s="230">
        <v>15784207</v>
      </c>
      <c r="D153" s="230">
        <v>1422431</v>
      </c>
      <c r="E153" s="230">
        <v>2602741</v>
      </c>
      <c r="F153" s="230"/>
      <c r="G153" s="230">
        <v>380854</v>
      </c>
      <c r="H153" s="230">
        <v>46660</v>
      </c>
      <c r="K153" s="230">
        <v>14390</v>
      </c>
      <c r="L153" s="230">
        <v>4360428</v>
      </c>
      <c r="M153" s="230">
        <v>87128</v>
      </c>
      <c r="N153" s="229">
        <f t="shared" si="4"/>
        <v>4447556</v>
      </c>
      <c r="O153" s="235">
        <f t="shared" si="5"/>
        <v>61050</v>
      </c>
    </row>
    <row r="154" spans="1:15" ht="13.8" x14ac:dyDescent="0.25">
      <c r="A154" s="191">
        <v>34230</v>
      </c>
      <c r="B154" s="192" t="s">
        <v>358</v>
      </c>
      <c r="C154" s="229">
        <v>5563663</v>
      </c>
      <c r="D154" s="229">
        <v>501383</v>
      </c>
      <c r="E154" s="229">
        <v>917422</v>
      </c>
      <c r="F154" s="229"/>
      <c r="G154" s="229">
        <v>358394</v>
      </c>
      <c r="H154" s="229">
        <v>16447</v>
      </c>
      <c r="K154" s="229">
        <v>12030</v>
      </c>
      <c r="L154" s="229">
        <v>1536976</v>
      </c>
      <c r="M154" s="229">
        <v>124381</v>
      </c>
      <c r="N154" s="229">
        <f t="shared" si="4"/>
        <v>1661357</v>
      </c>
      <c r="O154" s="235">
        <f t="shared" si="5"/>
        <v>28477</v>
      </c>
    </row>
    <row r="155" spans="1:15" ht="13.8" x14ac:dyDescent="0.25">
      <c r="A155" s="191">
        <v>34300</v>
      </c>
      <c r="B155" s="192" t="s">
        <v>359</v>
      </c>
      <c r="C155" s="229">
        <v>97470035</v>
      </c>
      <c r="D155" s="229">
        <v>8783743</v>
      </c>
      <c r="E155" s="229">
        <v>16072347</v>
      </c>
      <c r="F155" s="229"/>
      <c r="G155" s="229">
        <v>71720</v>
      </c>
      <c r="H155" s="229">
        <v>288134</v>
      </c>
      <c r="K155" s="229">
        <v>2231810</v>
      </c>
      <c r="L155" s="229">
        <v>26926352</v>
      </c>
      <c r="M155" s="229">
        <v>-1958321</v>
      </c>
      <c r="N155" s="229">
        <f t="shared" si="4"/>
        <v>24968031</v>
      </c>
      <c r="O155" s="235">
        <f t="shared" si="5"/>
        <v>2519944</v>
      </c>
    </row>
    <row r="156" spans="1:15" ht="13.8" x14ac:dyDescent="0.25">
      <c r="A156" s="191">
        <v>34400</v>
      </c>
      <c r="B156" s="192" t="s">
        <v>360</v>
      </c>
      <c r="C156" s="229">
        <v>37825497</v>
      </c>
      <c r="D156" s="229">
        <v>3408734</v>
      </c>
      <c r="E156" s="229">
        <v>6237245</v>
      </c>
      <c r="F156" s="229"/>
      <c r="G156" s="229">
        <v>52921</v>
      </c>
      <c r="H156" s="229">
        <v>111817</v>
      </c>
      <c r="K156" s="229">
        <v>1954509</v>
      </c>
      <c r="L156" s="229">
        <v>10449392</v>
      </c>
      <c r="M156" s="229">
        <v>-1122275</v>
      </c>
      <c r="N156" s="229">
        <f t="shared" si="4"/>
        <v>9327117</v>
      </c>
      <c r="O156" s="235">
        <f t="shared" si="5"/>
        <v>2066326</v>
      </c>
    </row>
    <row r="157" spans="1:15" ht="13.8" x14ac:dyDescent="0.25">
      <c r="A157" s="191">
        <v>34405</v>
      </c>
      <c r="B157" s="192" t="s">
        <v>202</v>
      </c>
      <c r="C157" s="229">
        <v>6694175</v>
      </c>
      <c r="D157" s="229">
        <v>603261</v>
      </c>
      <c r="E157" s="229">
        <v>1103838</v>
      </c>
      <c r="F157" s="229"/>
      <c r="G157" s="229">
        <v>18361</v>
      </c>
      <c r="H157" s="229">
        <v>19789</v>
      </c>
      <c r="K157" s="229">
        <v>410074</v>
      </c>
      <c r="L157" s="229">
        <v>1849283</v>
      </c>
      <c r="M157" s="229">
        <v>-223766</v>
      </c>
      <c r="N157" s="229">
        <f t="shared" si="4"/>
        <v>1625517</v>
      </c>
      <c r="O157" s="235">
        <f t="shared" si="5"/>
        <v>429863</v>
      </c>
    </row>
    <row r="158" spans="1:15" ht="13.8" x14ac:dyDescent="0.25">
      <c r="A158" s="191">
        <v>34500</v>
      </c>
      <c r="B158" s="192" t="s">
        <v>361</v>
      </c>
      <c r="C158" s="229">
        <v>74767921</v>
      </c>
      <c r="D158" s="229">
        <v>6737888</v>
      </c>
      <c r="E158" s="229">
        <v>12328876</v>
      </c>
      <c r="F158" s="229"/>
      <c r="G158" s="229">
        <v>443041</v>
      </c>
      <c r="H158" s="229">
        <v>221024</v>
      </c>
      <c r="K158" s="229">
        <v>2275793</v>
      </c>
      <c r="L158" s="229">
        <v>20654833</v>
      </c>
      <c r="M158" s="229">
        <v>-1148077</v>
      </c>
      <c r="N158" s="229">
        <f t="shared" si="4"/>
        <v>19506756</v>
      </c>
      <c r="O158" s="235">
        <f t="shared" si="5"/>
        <v>2496817</v>
      </c>
    </row>
    <row r="159" spans="1:15" ht="13.8" x14ac:dyDescent="0.25">
      <c r="A159" s="191">
        <v>34501</v>
      </c>
      <c r="B159" s="192" t="s">
        <v>362</v>
      </c>
      <c r="C159" s="229">
        <v>1081617</v>
      </c>
      <c r="D159" s="229">
        <v>97473</v>
      </c>
      <c r="E159" s="229">
        <v>178354</v>
      </c>
      <c r="F159" s="229"/>
      <c r="G159" s="229">
        <v>13083</v>
      </c>
      <c r="H159" s="229">
        <v>3197</v>
      </c>
      <c r="K159" s="229">
        <v>34859</v>
      </c>
      <c r="L159" s="229">
        <v>298800</v>
      </c>
      <c r="M159" s="229">
        <v>-28055</v>
      </c>
      <c r="N159" s="229">
        <f t="shared" si="4"/>
        <v>270745</v>
      </c>
      <c r="O159" s="235">
        <f t="shared" si="5"/>
        <v>38056</v>
      </c>
    </row>
    <row r="160" spans="1:15" ht="13.8" x14ac:dyDescent="0.25">
      <c r="A160" s="191">
        <v>34505</v>
      </c>
      <c r="B160" s="192" t="s">
        <v>182</v>
      </c>
      <c r="C160" s="229">
        <v>11637019</v>
      </c>
      <c r="D160" s="229">
        <v>1048697</v>
      </c>
      <c r="E160" s="229">
        <v>1918889</v>
      </c>
      <c r="F160" s="229"/>
      <c r="G160" s="229">
        <v>462937</v>
      </c>
      <c r="H160" s="229">
        <v>34401</v>
      </c>
      <c r="K160" s="229">
        <v>0</v>
      </c>
      <c r="L160" s="229">
        <v>3214757</v>
      </c>
      <c r="M160" s="229">
        <v>214106</v>
      </c>
      <c r="N160" s="229">
        <f t="shared" si="4"/>
        <v>3428863</v>
      </c>
      <c r="O160" s="235">
        <f t="shared" si="5"/>
        <v>34401</v>
      </c>
    </row>
    <row r="161" spans="1:15" ht="13.8" x14ac:dyDescent="0.25">
      <c r="A161" s="191">
        <v>34600</v>
      </c>
      <c r="B161" s="192" t="s">
        <v>363</v>
      </c>
      <c r="C161" s="229">
        <v>15825694</v>
      </c>
      <c r="D161" s="229">
        <v>1426170</v>
      </c>
      <c r="E161" s="229">
        <v>2609582</v>
      </c>
      <c r="F161" s="229"/>
      <c r="G161" s="229">
        <v>860977</v>
      </c>
      <c r="H161" s="229">
        <v>46783</v>
      </c>
      <c r="K161" s="229">
        <v>209747</v>
      </c>
      <c r="L161" s="229">
        <v>4371889</v>
      </c>
      <c r="M161" s="229">
        <v>195630</v>
      </c>
      <c r="N161" s="229">
        <f t="shared" si="4"/>
        <v>4567519</v>
      </c>
      <c r="O161" s="235">
        <f t="shared" si="5"/>
        <v>256530</v>
      </c>
    </row>
    <row r="162" spans="1:15" ht="13.8" x14ac:dyDescent="0.25">
      <c r="A162" s="191">
        <v>34605</v>
      </c>
      <c r="B162" s="192" t="s">
        <v>218</v>
      </c>
      <c r="C162" s="229">
        <v>3064089</v>
      </c>
      <c r="D162" s="229">
        <v>276128</v>
      </c>
      <c r="E162" s="229">
        <v>505254</v>
      </c>
      <c r="F162" s="229"/>
      <c r="G162" s="229">
        <v>176029</v>
      </c>
      <c r="H162" s="229">
        <v>9058</v>
      </c>
      <c r="K162" s="229">
        <v>0</v>
      </c>
      <c r="L162" s="229">
        <v>846463</v>
      </c>
      <c r="M162" s="229">
        <v>85791</v>
      </c>
      <c r="N162" s="229">
        <f t="shared" si="4"/>
        <v>932254</v>
      </c>
      <c r="O162" s="235">
        <f t="shared" si="5"/>
        <v>9058</v>
      </c>
    </row>
    <row r="163" spans="1:15" ht="13.8" x14ac:dyDescent="0.25">
      <c r="A163" s="191">
        <v>34700</v>
      </c>
      <c r="B163" s="192" t="s">
        <v>364</v>
      </c>
      <c r="C163" s="229">
        <v>48523139</v>
      </c>
      <c r="D163" s="229">
        <v>4372777</v>
      </c>
      <c r="E163" s="229">
        <v>8001236</v>
      </c>
      <c r="F163" s="229"/>
      <c r="G163" s="229">
        <v>287220</v>
      </c>
      <c r="H163" s="229">
        <v>143441</v>
      </c>
      <c r="K163" s="229">
        <v>2754978</v>
      </c>
      <c r="L163" s="229">
        <v>13404644</v>
      </c>
      <c r="M163" s="229">
        <v>-1549498</v>
      </c>
      <c r="N163" s="229">
        <f t="shared" si="4"/>
        <v>11855146</v>
      </c>
      <c r="O163" s="235">
        <f t="shared" si="5"/>
        <v>2898419</v>
      </c>
    </row>
    <row r="164" spans="1:15" ht="13.8" x14ac:dyDescent="0.25">
      <c r="A164" s="191">
        <v>34800</v>
      </c>
      <c r="B164" s="192" t="s">
        <v>365</v>
      </c>
      <c r="C164" s="229">
        <v>4725039</v>
      </c>
      <c r="D164" s="229">
        <v>425808</v>
      </c>
      <c r="E164" s="229">
        <v>779136</v>
      </c>
      <c r="F164" s="229"/>
      <c r="G164" s="229">
        <v>108674</v>
      </c>
      <c r="H164" s="229">
        <v>13968</v>
      </c>
      <c r="K164" s="229">
        <v>142857</v>
      </c>
      <c r="L164" s="229">
        <v>1305304</v>
      </c>
      <c r="M164" s="229">
        <v>-15129</v>
      </c>
      <c r="N164" s="229">
        <f t="shared" si="4"/>
        <v>1290175</v>
      </c>
      <c r="O164" s="235">
        <f t="shared" si="5"/>
        <v>156825</v>
      </c>
    </row>
    <row r="165" spans="1:15" ht="13.8" x14ac:dyDescent="0.25">
      <c r="A165" s="191">
        <v>34900</v>
      </c>
      <c r="B165" s="192" t="s">
        <v>366</v>
      </c>
      <c r="C165" s="229">
        <v>109985682</v>
      </c>
      <c r="D165" s="229">
        <v>9911620</v>
      </c>
      <c r="E165" s="229">
        <v>18136118</v>
      </c>
      <c r="F165" s="229"/>
      <c r="G165" s="229">
        <v>405607</v>
      </c>
      <c r="H165" s="229">
        <v>325132</v>
      </c>
      <c r="K165" s="229">
        <v>90749</v>
      </c>
      <c r="L165" s="229">
        <v>30383832</v>
      </c>
      <c r="M165" s="229">
        <v>400637</v>
      </c>
      <c r="N165" s="229">
        <f t="shared" si="4"/>
        <v>30784469</v>
      </c>
      <c r="O165" s="235">
        <f t="shared" si="5"/>
        <v>415881</v>
      </c>
    </row>
    <row r="166" spans="1:15" ht="13.8" x14ac:dyDescent="0.25">
      <c r="A166" s="226">
        <v>34901</v>
      </c>
      <c r="B166" s="228" t="s">
        <v>500</v>
      </c>
      <c r="C166" s="230">
        <v>3289303</v>
      </c>
      <c r="D166" s="230">
        <v>296423</v>
      </c>
      <c r="E166" s="230">
        <v>542390</v>
      </c>
      <c r="F166" s="230"/>
      <c r="G166" s="230">
        <v>92274</v>
      </c>
      <c r="H166" s="230">
        <v>9724</v>
      </c>
      <c r="K166" s="230">
        <v>85844</v>
      </c>
      <c r="L166" s="230">
        <v>908678</v>
      </c>
      <c r="M166" s="230">
        <v>22857</v>
      </c>
      <c r="N166" s="229">
        <f t="shared" si="4"/>
        <v>931535</v>
      </c>
      <c r="O166" s="235">
        <f t="shared" si="5"/>
        <v>95568</v>
      </c>
    </row>
    <row r="167" spans="1:15" ht="13.8" x14ac:dyDescent="0.25">
      <c r="A167" s="226">
        <v>34903</v>
      </c>
      <c r="B167" s="227" t="s">
        <v>368</v>
      </c>
      <c r="C167" s="230">
        <v>451909</v>
      </c>
      <c r="D167" s="230">
        <v>40725</v>
      </c>
      <c r="E167" s="230">
        <v>74518</v>
      </c>
      <c r="F167" s="230"/>
      <c r="G167" s="230">
        <v>115063</v>
      </c>
      <c r="H167" s="230">
        <v>1336</v>
      </c>
      <c r="K167" s="230">
        <v>0</v>
      </c>
      <c r="L167" s="230">
        <v>124841</v>
      </c>
      <c r="M167" s="230">
        <v>78546</v>
      </c>
      <c r="N167" s="229">
        <f t="shared" si="4"/>
        <v>203387</v>
      </c>
      <c r="O167" s="235">
        <f t="shared" si="5"/>
        <v>1336</v>
      </c>
    </row>
    <row r="168" spans="1:15" ht="13.8" x14ac:dyDescent="0.25">
      <c r="A168" s="226">
        <v>34905</v>
      </c>
      <c r="B168" s="227" t="s">
        <v>210</v>
      </c>
      <c r="C168" s="230">
        <v>9251534</v>
      </c>
      <c r="D168" s="230">
        <v>833724</v>
      </c>
      <c r="E168" s="230">
        <v>1525534</v>
      </c>
      <c r="F168" s="230"/>
      <c r="G168" s="230">
        <v>118082</v>
      </c>
      <c r="H168" s="230">
        <v>27349</v>
      </c>
      <c r="K168" s="230">
        <v>167886</v>
      </c>
      <c r="L168" s="230">
        <v>2555760</v>
      </c>
      <c r="M168" s="230">
        <v>-102247</v>
      </c>
      <c r="N168" s="229">
        <f t="shared" si="4"/>
        <v>2453513</v>
      </c>
      <c r="O168" s="235">
        <f t="shared" si="5"/>
        <v>195235</v>
      </c>
    </row>
    <row r="169" spans="1:15" ht="13.8" x14ac:dyDescent="0.25">
      <c r="A169" s="226">
        <v>34910</v>
      </c>
      <c r="B169" s="227" t="s">
        <v>369</v>
      </c>
      <c r="C169" s="230">
        <v>34348023</v>
      </c>
      <c r="D169" s="230">
        <v>3095353</v>
      </c>
      <c r="E169" s="230">
        <v>5663826</v>
      </c>
      <c r="F169" s="230"/>
      <c r="G169" s="230">
        <v>797948</v>
      </c>
      <c r="H169" s="230">
        <v>101537</v>
      </c>
      <c r="K169" s="230">
        <v>584024</v>
      </c>
      <c r="L169" s="230">
        <v>9488731</v>
      </c>
      <c r="M169" s="230">
        <v>14250</v>
      </c>
      <c r="N169" s="229">
        <f t="shared" si="4"/>
        <v>9502981</v>
      </c>
      <c r="O169" s="235">
        <f t="shared" si="5"/>
        <v>685561</v>
      </c>
    </row>
    <row r="170" spans="1:15" ht="13.8" x14ac:dyDescent="0.25">
      <c r="A170" s="226">
        <v>35000</v>
      </c>
      <c r="B170" s="227" t="s">
        <v>370</v>
      </c>
      <c r="C170" s="230">
        <v>23241441</v>
      </c>
      <c r="D170" s="230">
        <v>2094457</v>
      </c>
      <c r="E170" s="230">
        <v>3832404</v>
      </c>
      <c r="F170" s="230"/>
      <c r="G170" s="230">
        <v>261013</v>
      </c>
      <c r="H170" s="230">
        <v>68705</v>
      </c>
      <c r="K170" s="230">
        <v>638553</v>
      </c>
      <c r="L170" s="230">
        <v>6420509</v>
      </c>
      <c r="M170" s="230">
        <v>-241330</v>
      </c>
      <c r="N170" s="229">
        <f t="shared" si="4"/>
        <v>6179179</v>
      </c>
      <c r="O170" s="235">
        <f t="shared" si="5"/>
        <v>707258</v>
      </c>
    </row>
    <row r="171" spans="1:15" ht="13.8" x14ac:dyDescent="0.25">
      <c r="A171" s="226">
        <v>35005</v>
      </c>
      <c r="B171" s="227" t="s">
        <v>226</v>
      </c>
      <c r="C171" s="230">
        <v>8491438</v>
      </c>
      <c r="D171" s="230">
        <v>765226</v>
      </c>
      <c r="E171" s="230">
        <v>1400198</v>
      </c>
      <c r="F171" s="230"/>
      <c r="G171" s="230">
        <v>5246</v>
      </c>
      <c r="H171" s="230">
        <v>25102</v>
      </c>
      <c r="K171" s="230">
        <v>173754</v>
      </c>
      <c r="L171" s="230">
        <v>2345782</v>
      </c>
      <c r="M171" s="230">
        <v>-96844</v>
      </c>
      <c r="N171" s="229">
        <f t="shared" si="4"/>
        <v>2248938</v>
      </c>
      <c r="O171" s="235">
        <f t="shared" si="5"/>
        <v>198856</v>
      </c>
    </row>
    <row r="172" spans="1:15" ht="13.8" x14ac:dyDescent="0.25">
      <c r="A172" s="191">
        <v>35100</v>
      </c>
      <c r="B172" s="192" t="s">
        <v>371</v>
      </c>
      <c r="C172" s="229">
        <v>197832285</v>
      </c>
      <c r="D172" s="229">
        <v>17828124</v>
      </c>
      <c r="E172" s="229">
        <v>32621606</v>
      </c>
      <c r="F172" s="229"/>
      <c r="G172" s="229">
        <v>430959</v>
      </c>
      <c r="H172" s="229">
        <v>584818</v>
      </c>
      <c r="K172" s="229">
        <v>3327502</v>
      </c>
      <c r="L172" s="229">
        <v>54651685</v>
      </c>
      <c r="M172" s="229">
        <v>-2868789</v>
      </c>
      <c r="N172" s="229">
        <f t="shared" si="4"/>
        <v>51782896</v>
      </c>
      <c r="O172" s="235">
        <f t="shared" si="5"/>
        <v>3912320</v>
      </c>
    </row>
    <row r="173" spans="1:15" ht="13.8" x14ac:dyDescent="0.25">
      <c r="A173" s="191">
        <v>35105</v>
      </c>
      <c r="B173" s="192" t="s">
        <v>205</v>
      </c>
      <c r="C173" s="229">
        <v>17443675</v>
      </c>
      <c r="D173" s="229">
        <v>1571978</v>
      </c>
      <c r="E173" s="229">
        <v>2876379</v>
      </c>
      <c r="F173" s="229"/>
      <c r="G173" s="229">
        <v>685632</v>
      </c>
      <c r="H173" s="229">
        <v>51566</v>
      </c>
      <c r="K173" s="229">
        <v>234166</v>
      </c>
      <c r="L173" s="229">
        <v>4818861</v>
      </c>
      <c r="M173" s="229">
        <v>102432</v>
      </c>
      <c r="N173" s="229">
        <f t="shared" si="4"/>
        <v>4921293</v>
      </c>
      <c r="O173" s="235">
        <f t="shared" si="5"/>
        <v>285732</v>
      </c>
    </row>
    <row r="174" spans="1:15" ht="13.8" x14ac:dyDescent="0.25">
      <c r="A174" s="191">
        <v>35106</v>
      </c>
      <c r="B174" s="192" t="s">
        <v>372</v>
      </c>
      <c r="C174" s="229">
        <v>3527851</v>
      </c>
      <c r="D174" s="229">
        <v>317921</v>
      </c>
      <c r="E174" s="229">
        <v>581726</v>
      </c>
      <c r="F174" s="229"/>
      <c r="G174" s="229">
        <v>0</v>
      </c>
      <c r="H174" s="229">
        <v>10429</v>
      </c>
      <c r="K174" s="229">
        <v>288586</v>
      </c>
      <c r="L174" s="229">
        <v>974578</v>
      </c>
      <c r="M174" s="229">
        <v>-193139</v>
      </c>
      <c r="N174" s="229">
        <f t="shared" si="4"/>
        <v>781439</v>
      </c>
      <c r="O174" s="235">
        <f t="shared" si="5"/>
        <v>299015</v>
      </c>
    </row>
    <row r="175" spans="1:15" ht="13.8" x14ac:dyDescent="0.25">
      <c r="A175" s="191">
        <v>35200</v>
      </c>
      <c r="B175" s="192" t="s">
        <v>373</v>
      </c>
      <c r="C175" s="229">
        <v>7346109</v>
      </c>
      <c r="D175" s="229">
        <v>662012</v>
      </c>
      <c r="E175" s="229">
        <v>1211339</v>
      </c>
      <c r="F175" s="229"/>
      <c r="G175" s="229">
        <v>73809</v>
      </c>
      <c r="H175" s="229">
        <v>21716</v>
      </c>
      <c r="K175" s="229">
        <v>24351</v>
      </c>
      <c r="L175" s="229">
        <v>2029382</v>
      </c>
      <c r="M175" s="229">
        <v>89099</v>
      </c>
      <c r="N175" s="229">
        <f t="shared" si="4"/>
        <v>2118481</v>
      </c>
      <c r="O175" s="235">
        <f t="shared" si="5"/>
        <v>46067</v>
      </c>
    </row>
    <row r="176" spans="1:15" ht="13.8" x14ac:dyDescent="0.25">
      <c r="A176" s="191">
        <v>35300</v>
      </c>
      <c r="B176" s="192" t="s">
        <v>526</v>
      </c>
      <c r="C176" s="229">
        <v>54360910</v>
      </c>
      <c r="D176" s="229">
        <v>4898862</v>
      </c>
      <c r="E176" s="229">
        <v>8963856</v>
      </c>
      <c r="F176" s="229"/>
      <c r="G176" s="229">
        <v>781752</v>
      </c>
      <c r="H176" s="229">
        <v>160698</v>
      </c>
      <c r="K176" s="229">
        <v>3321549</v>
      </c>
      <c r="L176" s="229">
        <v>15017343</v>
      </c>
      <c r="M176" s="229">
        <v>-1616775</v>
      </c>
      <c r="N176" s="229">
        <f t="shared" si="4"/>
        <v>13400568</v>
      </c>
      <c r="O176" s="235">
        <f t="shared" si="5"/>
        <v>3482247</v>
      </c>
    </row>
    <row r="177" spans="1:15" ht="13.8" x14ac:dyDescent="0.25">
      <c r="A177" s="191">
        <v>35305</v>
      </c>
      <c r="B177" s="192" t="s">
        <v>188</v>
      </c>
      <c r="C177" s="229">
        <v>21135991</v>
      </c>
      <c r="D177" s="229">
        <v>1904720</v>
      </c>
      <c r="E177" s="229">
        <v>3485225</v>
      </c>
      <c r="F177" s="229"/>
      <c r="G177" s="229">
        <v>0</v>
      </c>
      <c r="H177" s="229">
        <v>62481</v>
      </c>
      <c r="K177" s="229">
        <v>572870</v>
      </c>
      <c r="L177" s="229">
        <v>5838873</v>
      </c>
      <c r="M177" s="229">
        <v>-113710</v>
      </c>
      <c r="N177" s="229">
        <f t="shared" si="4"/>
        <v>5725163</v>
      </c>
      <c r="O177" s="235">
        <f t="shared" si="5"/>
        <v>635351</v>
      </c>
    </row>
    <row r="178" spans="1:15" ht="13.8" x14ac:dyDescent="0.25">
      <c r="A178" s="226">
        <v>35400</v>
      </c>
      <c r="B178" s="227" t="s">
        <v>375</v>
      </c>
      <c r="C178" s="230">
        <v>46300637</v>
      </c>
      <c r="D178" s="230">
        <v>4172491</v>
      </c>
      <c r="E178" s="230">
        <v>7634756</v>
      </c>
      <c r="F178" s="230"/>
      <c r="G178" s="230">
        <v>1436196</v>
      </c>
      <c r="H178" s="230">
        <v>136871</v>
      </c>
      <c r="K178" s="230">
        <v>1712682</v>
      </c>
      <c r="L178" s="230">
        <v>12790672</v>
      </c>
      <c r="M178" s="230">
        <v>-184866</v>
      </c>
      <c r="N178" s="229">
        <f t="shared" si="4"/>
        <v>12605806</v>
      </c>
      <c r="O178" s="235">
        <f t="shared" si="5"/>
        <v>1849553</v>
      </c>
    </row>
    <row r="179" spans="1:15" ht="13.8" x14ac:dyDescent="0.25">
      <c r="A179" s="226">
        <v>35401</v>
      </c>
      <c r="B179" s="227" t="s">
        <v>376</v>
      </c>
      <c r="C179" s="230">
        <v>357082</v>
      </c>
      <c r="D179" s="230">
        <v>32179</v>
      </c>
      <c r="E179" s="230">
        <v>58881</v>
      </c>
      <c r="F179" s="230"/>
      <c r="G179" s="230">
        <v>0</v>
      </c>
      <c r="H179" s="230">
        <v>1056</v>
      </c>
      <c r="K179" s="230">
        <v>124310</v>
      </c>
      <c r="L179" s="230">
        <v>98645</v>
      </c>
      <c r="M179" s="230">
        <v>-32689</v>
      </c>
      <c r="N179" s="229">
        <f t="shared" si="4"/>
        <v>65956</v>
      </c>
      <c r="O179" s="235">
        <f t="shared" si="5"/>
        <v>125366</v>
      </c>
    </row>
    <row r="180" spans="1:15" ht="13.8" x14ac:dyDescent="0.25">
      <c r="A180" s="226">
        <v>35405</v>
      </c>
      <c r="B180" s="227" t="s">
        <v>206</v>
      </c>
      <c r="C180" s="230">
        <v>12174864</v>
      </c>
      <c r="D180" s="230">
        <v>1097167</v>
      </c>
      <c r="E180" s="230">
        <v>2007577</v>
      </c>
      <c r="F180" s="230"/>
      <c r="G180" s="230">
        <v>0</v>
      </c>
      <c r="H180" s="230">
        <v>35990</v>
      </c>
      <c r="K180" s="230">
        <v>509355</v>
      </c>
      <c r="L180" s="230">
        <v>3363338</v>
      </c>
      <c r="M180" s="230">
        <v>-373811</v>
      </c>
      <c r="N180" s="229">
        <f t="shared" si="4"/>
        <v>2989527</v>
      </c>
      <c r="O180" s="235">
        <f t="shared" si="5"/>
        <v>545345</v>
      </c>
    </row>
    <row r="181" spans="1:15" ht="13.8" x14ac:dyDescent="0.25">
      <c r="A181" s="226">
        <v>35500</v>
      </c>
      <c r="B181" s="227" t="s">
        <v>377</v>
      </c>
      <c r="C181" s="230">
        <v>61400314</v>
      </c>
      <c r="D181" s="230">
        <v>5533235</v>
      </c>
      <c r="E181" s="230">
        <v>10124621</v>
      </c>
      <c r="F181" s="230"/>
      <c r="G181" s="230">
        <v>669291</v>
      </c>
      <c r="H181" s="230">
        <v>181507</v>
      </c>
      <c r="K181" s="230">
        <v>260877</v>
      </c>
      <c r="L181" s="230">
        <v>16961997</v>
      </c>
      <c r="M181" s="230">
        <v>132163</v>
      </c>
      <c r="N181" s="229">
        <f t="shared" si="4"/>
        <v>17094160</v>
      </c>
      <c r="O181" s="235">
        <f t="shared" si="5"/>
        <v>442384</v>
      </c>
    </row>
    <row r="182" spans="1:15" ht="13.8" x14ac:dyDescent="0.25">
      <c r="A182" s="226">
        <v>35600</v>
      </c>
      <c r="B182" s="227" t="s">
        <v>378</v>
      </c>
      <c r="C182" s="230">
        <v>26915977</v>
      </c>
      <c r="D182" s="230">
        <v>2425597</v>
      </c>
      <c r="E182" s="230">
        <v>4438317</v>
      </c>
      <c r="F182" s="230"/>
      <c r="G182" s="230">
        <v>409947</v>
      </c>
      <c r="H182" s="230">
        <v>79567</v>
      </c>
      <c r="K182" s="230">
        <v>570527</v>
      </c>
      <c r="L182" s="230">
        <v>7435609</v>
      </c>
      <c r="M182" s="230">
        <v>70374</v>
      </c>
      <c r="N182" s="229">
        <f t="shared" si="4"/>
        <v>7505983</v>
      </c>
      <c r="O182" s="235">
        <f t="shared" si="5"/>
        <v>650094</v>
      </c>
    </row>
    <row r="183" spans="1:15" ht="13.8" x14ac:dyDescent="0.25">
      <c r="A183" s="226">
        <v>35700</v>
      </c>
      <c r="B183" s="227" t="s">
        <v>379</v>
      </c>
      <c r="C183" s="230">
        <v>14102514</v>
      </c>
      <c r="D183" s="230">
        <v>1270881</v>
      </c>
      <c r="E183" s="230">
        <v>2325438</v>
      </c>
      <c r="F183" s="230"/>
      <c r="G183" s="230">
        <v>420752</v>
      </c>
      <c r="H183" s="230">
        <v>41689</v>
      </c>
      <c r="K183" s="230">
        <v>220786</v>
      </c>
      <c r="L183" s="230">
        <v>3895856</v>
      </c>
      <c r="M183" s="230">
        <v>96654</v>
      </c>
      <c r="N183" s="229">
        <f t="shared" si="4"/>
        <v>3992510</v>
      </c>
      <c r="O183" s="235">
        <f t="shared" si="5"/>
        <v>262475</v>
      </c>
    </row>
    <row r="184" spans="1:15" ht="13.8" x14ac:dyDescent="0.25">
      <c r="A184" s="191">
        <v>35800</v>
      </c>
      <c r="B184" s="192" t="s">
        <v>380</v>
      </c>
      <c r="C184" s="229">
        <v>16877678</v>
      </c>
      <c r="D184" s="229">
        <v>1520972</v>
      </c>
      <c r="E184" s="229">
        <v>2783049</v>
      </c>
      <c r="F184" s="229"/>
      <c r="G184" s="229">
        <v>179280</v>
      </c>
      <c r="H184" s="229">
        <v>49893</v>
      </c>
      <c r="K184" s="229">
        <v>111381</v>
      </c>
      <c r="L184" s="229">
        <v>4662503</v>
      </c>
      <c r="M184" s="229">
        <v>-111784</v>
      </c>
      <c r="N184" s="229">
        <f t="shared" si="4"/>
        <v>4550719</v>
      </c>
      <c r="O184" s="235">
        <f t="shared" si="5"/>
        <v>161274</v>
      </c>
    </row>
    <row r="185" spans="1:15" ht="13.8" x14ac:dyDescent="0.25">
      <c r="A185" s="191">
        <v>35805</v>
      </c>
      <c r="B185" s="192" t="s">
        <v>207</v>
      </c>
      <c r="C185" s="229">
        <v>3496736</v>
      </c>
      <c r="D185" s="229">
        <v>315117</v>
      </c>
      <c r="E185" s="229">
        <v>576595</v>
      </c>
      <c r="F185" s="229"/>
      <c r="G185" s="229">
        <v>162766</v>
      </c>
      <c r="H185" s="229">
        <v>10337</v>
      </c>
      <c r="K185" s="229">
        <v>1559</v>
      </c>
      <c r="L185" s="229">
        <v>965982</v>
      </c>
      <c r="M185" s="229">
        <v>106460</v>
      </c>
      <c r="N185" s="229">
        <f t="shared" si="4"/>
        <v>1072442</v>
      </c>
      <c r="O185" s="235">
        <f t="shared" si="5"/>
        <v>11896</v>
      </c>
    </row>
    <row r="186" spans="1:15" ht="13.8" x14ac:dyDescent="0.25">
      <c r="A186" s="191">
        <v>35900</v>
      </c>
      <c r="B186" s="192" t="s">
        <v>381</v>
      </c>
      <c r="C186" s="229">
        <v>32583357</v>
      </c>
      <c r="D186" s="229">
        <v>2936326</v>
      </c>
      <c r="E186" s="229">
        <v>5372841</v>
      </c>
      <c r="F186" s="229"/>
      <c r="G186" s="229">
        <v>116617</v>
      </c>
      <c r="H186" s="229">
        <v>96321</v>
      </c>
      <c r="K186" s="229">
        <v>528285</v>
      </c>
      <c r="L186" s="229">
        <v>9001237</v>
      </c>
      <c r="M186" s="229">
        <v>-376489</v>
      </c>
      <c r="N186" s="229">
        <f t="shared" si="4"/>
        <v>8624748</v>
      </c>
      <c r="O186" s="235">
        <f t="shared" si="5"/>
        <v>624606</v>
      </c>
    </row>
    <row r="187" spans="1:15" ht="13.8" x14ac:dyDescent="0.25">
      <c r="A187" s="191">
        <v>35905</v>
      </c>
      <c r="B187" s="192" t="s">
        <v>209</v>
      </c>
      <c r="C187" s="229">
        <v>5117681</v>
      </c>
      <c r="D187" s="229">
        <v>461192</v>
      </c>
      <c r="E187" s="229">
        <v>843881</v>
      </c>
      <c r="F187" s="229"/>
      <c r="G187" s="229">
        <v>504567</v>
      </c>
      <c r="H187" s="229">
        <v>15129</v>
      </c>
      <c r="K187" s="229">
        <v>0</v>
      </c>
      <c r="L187" s="229">
        <v>1413773</v>
      </c>
      <c r="M187" s="229">
        <v>336677</v>
      </c>
      <c r="N187" s="229">
        <f t="shared" si="4"/>
        <v>1750450</v>
      </c>
      <c r="O187" s="235">
        <f t="shared" si="5"/>
        <v>15129</v>
      </c>
    </row>
    <row r="188" spans="1:15" ht="13.8" x14ac:dyDescent="0.25">
      <c r="A188" s="191">
        <v>36000</v>
      </c>
      <c r="B188" s="192" t="s">
        <v>382</v>
      </c>
      <c r="C188" s="229">
        <v>876739879</v>
      </c>
      <c r="D188" s="229">
        <v>79009489</v>
      </c>
      <c r="E188" s="229">
        <v>144570252</v>
      </c>
      <c r="F188" s="229"/>
      <c r="G188" s="229">
        <v>0</v>
      </c>
      <c r="H188" s="229">
        <v>2591756</v>
      </c>
      <c r="K188" s="229">
        <v>26989982</v>
      </c>
      <c r="L188" s="229">
        <v>242201682</v>
      </c>
      <c r="M188" s="229">
        <v>-15078481</v>
      </c>
      <c r="N188" s="229">
        <f t="shared" si="4"/>
        <v>227123201</v>
      </c>
      <c r="O188" s="235">
        <f t="shared" si="5"/>
        <v>29581738</v>
      </c>
    </row>
    <row r="189" spans="1:15" ht="13.8" x14ac:dyDescent="0.25">
      <c r="A189" s="191">
        <v>36003</v>
      </c>
      <c r="B189" s="192" t="s">
        <v>383</v>
      </c>
      <c r="C189" s="229">
        <v>6446737</v>
      </c>
      <c r="D189" s="229">
        <v>580963</v>
      </c>
      <c r="E189" s="229">
        <v>1063036</v>
      </c>
      <c r="F189" s="229"/>
      <c r="G189" s="229">
        <v>105837</v>
      </c>
      <c r="H189" s="229">
        <v>19057</v>
      </c>
      <c r="K189" s="229">
        <v>32069</v>
      </c>
      <c r="L189" s="229">
        <v>1780928</v>
      </c>
      <c r="M189" s="229">
        <v>29562</v>
      </c>
      <c r="N189" s="229">
        <f t="shared" si="4"/>
        <v>1810490</v>
      </c>
      <c r="O189" s="235">
        <f t="shared" si="5"/>
        <v>51126</v>
      </c>
    </row>
    <row r="190" spans="1:15" ht="13.8" x14ac:dyDescent="0.25">
      <c r="A190" s="226">
        <v>36004</v>
      </c>
      <c r="B190" s="228" t="s">
        <v>384</v>
      </c>
      <c r="C190" s="230">
        <v>5136942</v>
      </c>
      <c r="D190" s="230">
        <v>462928</v>
      </c>
      <c r="E190" s="230">
        <v>847057</v>
      </c>
      <c r="F190" s="230"/>
      <c r="G190" s="230">
        <v>16775</v>
      </c>
      <c r="H190" s="230">
        <v>15185</v>
      </c>
      <c r="K190" s="230">
        <v>222967</v>
      </c>
      <c r="L190" s="230">
        <v>1419094</v>
      </c>
      <c r="M190" s="230">
        <v>-45922</v>
      </c>
      <c r="N190" s="229">
        <f t="shared" si="4"/>
        <v>1373172</v>
      </c>
      <c r="O190" s="235">
        <f t="shared" si="5"/>
        <v>238152</v>
      </c>
    </row>
    <row r="191" spans="1:15" ht="13.8" x14ac:dyDescent="0.25">
      <c r="A191" s="226">
        <v>36005</v>
      </c>
      <c r="B191" s="227" t="s">
        <v>189</v>
      </c>
      <c r="C191" s="230">
        <v>64129546</v>
      </c>
      <c r="D191" s="230">
        <v>5779186</v>
      </c>
      <c r="E191" s="230">
        <v>10574658</v>
      </c>
      <c r="F191" s="230"/>
      <c r="G191" s="230">
        <v>1298649</v>
      </c>
      <c r="H191" s="230">
        <v>189575</v>
      </c>
      <c r="K191" s="230">
        <v>921380</v>
      </c>
      <c r="L191" s="230">
        <v>17715955</v>
      </c>
      <c r="M191" s="230">
        <v>-559403</v>
      </c>
      <c r="N191" s="229">
        <f t="shared" si="4"/>
        <v>17156552</v>
      </c>
      <c r="O191" s="235">
        <f t="shared" si="5"/>
        <v>1110955</v>
      </c>
    </row>
    <row r="192" spans="1:15" ht="13.8" x14ac:dyDescent="0.25">
      <c r="A192" s="226">
        <v>36006</v>
      </c>
      <c r="B192" s="227" t="s">
        <v>385</v>
      </c>
      <c r="C192" s="230">
        <v>10296110</v>
      </c>
      <c r="D192" s="230">
        <v>927858</v>
      </c>
      <c r="E192" s="230">
        <v>1697780</v>
      </c>
      <c r="F192" s="230"/>
      <c r="G192" s="230">
        <v>0</v>
      </c>
      <c r="H192" s="230">
        <v>30437</v>
      </c>
      <c r="K192" s="230">
        <v>376299</v>
      </c>
      <c r="L192" s="230">
        <v>2844327</v>
      </c>
      <c r="M192" s="230">
        <v>-267116</v>
      </c>
      <c r="N192" s="229">
        <f t="shared" si="4"/>
        <v>2577211</v>
      </c>
      <c r="O192" s="235">
        <f t="shared" si="5"/>
        <v>406736</v>
      </c>
    </row>
    <row r="193" spans="1:15" ht="13.8" x14ac:dyDescent="0.25">
      <c r="A193" s="226">
        <v>36007</v>
      </c>
      <c r="B193" s="227" t="s">
        <v>386</v>
      </c>
      <c r="C193" s="230">
        <v>4393145</v>
      </c>
      <c r="D193" s="230">
        <v>395899</v>
      </c>
      <c r="E193" s="230">
        <v>724409</v>
      </c>
      <c r="F193" s="230"/>
      <c r="G193" s="230">
        <v>86025</v>
      </c>
      <c r="H193" s="230">
        <v>12987</v>
      </c>
      <c r="K193" s="230">
        <v>22648</v>
      </c>
      <c r="L193" s="230">
        <v>1213618</v>
      </c>
      <c r="M193" s="230">
        <v>55709</v>
      </c>
      <c r="N193" s="229">
        <f t="shared" si="4"/>
        <v>1269327</v>
      </c>
      <c r="O193" s="235">
        <f t="shared" si="5"/>
        <v>35635</v>
      </c>
    </row>
    <row r="194" spans="1:15" ht="13.8" x14ac:dyDescent="0.25">
      <c r="A194" s="226">
        <v>36008</v>
      </c>
      <c r="B194" s="227" t="s">
        <v>387</v>
      </c>
      <c r="C194" s="230">
        <v>9079660</v>
      </c>
      <c r="D194" s="230">
        <v>818235</v>
      </c>
      <c r="E194" s="230">
        <v>1497193</v>
      </c>
      <c r="F194" s="230"/>
      <c r="G194" s="230">
        <v>0</v>
      </c>
      <c r="H194" s="230">
        <v>26841</v>
      </c>
      <c r="K194" s="230">
        <v>583575</v>
      </c>
      <c r="L194" s="230">
        <v>2508280</v>
      </c>
      <c r="M194" s="230">
        <v>-316202</v>
      </c>
      <c r="N194" s="229">
        <f t="shared" si="4"/>
        <v>2192078</v>
      </c>
      <c r="O194" s="235">
        <f t="shared" si="5"/>
        <v>610416</v>
      </c>
    </row>
    <row r="195" spans="1:15" ht="13.8" x14ac:dyDescent="0.25">
      <c r="A195" s="226">
        <v>36009</v>
      </c>
      <c r="B195" s="227" t="s">
        <v>388</v>
      </c>
      <c r="C195" s="230">
        <v>966047</v>
      </c>
      <c r="D195" s="230">
        <v>87058</v>
      </c>
      <c r="E195" s="230">
        <v>159297</v>
      </c>
      <c r="F195" s="230"/>
      <c r="G195" s="230">
        <v>29801</v>
      </c>
      <c r="H195" s="230">
        <v>2856</v>
      </c>
      <c r="K195" s="230">
        <v>173661</v>
      </c>
      <c r="L195" s="230">
        <v>266873</v>
      </c>
      <c r="M195" s="230">
        <v>-119699</v>
      </c>
      <c r="N195" s="229">
        <f t="shared" si="4"/>
        <v>147174</v>
      </c>
      <c r="O195" s="235">
        <f t="shared" si="5"/>
        <v>176517</v>
      </c>
    </row>
    <row r="196" spans="1:15" ht="13.8" x14ac:dyDescent="0.25">
      <c r="A196" s="191">
        <v>36100</v>
      </c>
      <c r="B196" s="192" t="s">
        <v>389</v>
      </c>
      <c r="C196" s="229">
        <v>10550956</v>
      </c>
      <c r="D196" s="229">
        <v>950824</v>
      </c>
      <c r="E196" s="229">
        <v>1739803</v>
      </c>
      <c r="F196" s="229"/>
      <c r="G196" s="229">
        <v>269150</v>
      </c>
      <c r="H196" s="229">
        <v>31190</v>
      </c>
      <c r="K196" s="229">
        <v>0</v>
      </c>
      <c r="L196" s="229">
        <v>2914729</v>
      </c>
      <c r="M196" s="229">
        <v>87560</v>
      </c>
      <c r="N196" s="229">
        <f t="shared" si="4"/>
        <v>3002289</v>
      </c>
      <c r="O196" s="235">
        <f t="shared" si="5"/>
        <v>31190</v>
      </c>
    </row>
    <row r="197" spans="1:15" ht="13.8" x14ac:dyDescent="0.25">
      <c r="A197" s="191">
        <v>36102</v>
      </c>
      <c r="B197" s="192" t="s">
        <v>501</v>
      </c>
      <c r="C197" s="229">
        <v>0</v>
      </c>
      <c r="D197" s="229">
        <v>0</v>
      </c>
      <c r="E197" s="229">
        <v>0</v>
      </c>
      <c r="F197" s="229"/>
      <c r="G197" s="229">
        <v>0</v>
      </c>
      <c r="H197" s="229" t="s">
        <v>575</v>
      </c>
      <c r="K197" s="229">
        <v>0</v>
      </c>
      <c r="L197" s="229">
        <v>0</v>
      </c>
      <c r="M197" s="229">
        <v>-332428</v>
      </c>
      <c r="N197" s="229">
        <f t="shared" ref="N197:N260" si="6">L197+M197</f>
        <v>-332428</v>
      </c>
      <c r="O197" s="235">
        <f t="shared" ref="O197:O260" si="7">SUM(H197:K197)</f>
        <v>0</v>
      </c>
    </row>
    <row r="198" spans="1:15" ht="13.8" x14ac:dyDescent="0.25">
      <c r="A198" s="191">
        <v>36105</v>
      </c>
      <c r="B198" s="192" t="s">
        <v>208</v>
      </c>
      <c r="C198" s="229">
        <v>4433150</v>
      </c>
      <c r="D198" s="229">
        <v>399504</v>
      </c>
      <c r="E198" s="229">
        <v>731005</v>
      </c>
      <c r="F198" s="229"/>
      <c r="G198" s="229">
        <v>77417</v>
      </c>
      <c r="H198" s="229">
        <v>13105</v>
      </c>
      <c r="K198" s="229">
        <v>115312</v>
      </c>
      <c r="L198" s="229">
        <v>1224669</v>
      </c>
      <c r="M198" s="229">
        <v>-87285</v>
      </c>
      <c r="N198" s="229">
        <f t="shared" si="6"/>
        <v>1137384</v>
      </c>
      <c r="O198" s="235">
        <f t="shared" si="7"/>
        <v>128417</v>
      </c>
    </row>
    <row r="199" spans="1:15" ht="13.8" x14ac:dyDescent="0.25">
      <c r="A199" s="191">
        <v>36200</v>
      </c>
      <c r="B199" s="192" t="s">
        <v>390</v>
      </c>
      <c r="C199" s="229">
        <v>19786192</v>
      </c>
      <c r="D199" s="229">
        <v>1783079</v>
      </c>
      <c r="E199" s="229">
        <v>3262649</v>
      </c>
      <c r="F199" s="229"/>
      <c r="G199" s="229">
        <v>290143</v>
      </c>
      <c r="H199" s="229">
        <v>58491</v>
      </c>
      <c r="K199" s="229">
        <v>0</v>
      </c>
      <c r="L199" s="229">
        <v>5465987</v>
      </c>
      <c r="M199" s="229">
        <v>-73398</v>
      </c>
      <c r="N199" s="229">
        <f t="shared" si="6"/>
        <v>5392589</v>
      </c>
      <c r="O199" s="235">
        <f t="shared" si="7"/>
        <v>58491</v>
      </c>
    </row>
    <row r="200" spans="1:15" ht="13.8" x14ac:dyDescent="0.25">
      <c r="A200" s="191">
        <v>36205</v>
      </c>
      <c r="B200" s="192" t="s">
        <v>211</v>
      </c>
      <c r="C200" s="229">
        <v>4542793</v>
      </c>
      <c r="D200" s="229">
        <v>409385</v>
      </c>
      <c r="E200" s="229">
        <v>749085</v>
      </c>
      <c r="F200" s="229"/>
      <c r="G200" s="229">
        <v>148702</v>
      </c>
      <c r="H200" s="229">
        <v>13429</v>
      </c>
      <c r="K200" s="229">
        <v>65528</v>
      </c>
      <c r="L200" s="229">
        <v>1254959</v>
      </c>
      <c r="M200" s="229">
        <v>-3070</v>
      </c>
      <c r="N200" s="229">
        <f t="shared" si="6"/>
        <v>1251889</v>
      </c>
      <c r="O200" s="235">
        <f t="shared" si="7"/>
        <v>78957</v>
      </c>
    </row>
    <row r="201" spans="1:15" ht="13.8" x14ac:dyDescent="0.25">
      <c r="A201" s="191">
        <v>36300</v>
      </c>
      <c r="B201" s="192" t="s">
        <v>391</v>
      </c>
      <c r="C201" s="229">
        <v>72243159</v>
      </c>
      <c r="D201" s="229">
        <v>6510363</v>
      </c>
      <c r="E201" s="229">
        <v>11912555</v>
      </c>
      <c r="F201" s="229"/>
      <c r="G201" s="229">
        <v>264140</v>
      </c>
      <c r="H201" s="229">
        <v>213560</v>
      </c>
      <c r="K201" s="229">
        <v>217198</v>
      </c>
      <c r="L201" s="229">
        <v>19957361</v>
      </c>
      <c r="M201" s="229">
        <v>-554768</v>
      </c>
      <c r="N201" s="229">
        <f t="shared" si="6"/>
        <v>19402593</v>
      </c>
      <c r="O201" s="235">
        <f t="shared" si="7"/>
        <v>430758</v>
      </c>
    </row>
    <row r="202" spans="1:15" ht="13.8" x14ac:dyDescent="0.25">
      <c r="A202" s="226">
        <v>36301</v>
      </c>
      <c r="B202" s="227" t="s">
        <v>392</v>
      </c>
      <c r="C202" s="230">
        <v>1902461</v>
      </c>
      <c r="D202" s="230">
        <v>171445</v>
      </c>
      <c r="E202" s="230">
        <v>313707</v>
      </c>
      <c r="F202" s="230"/>
      <c r="G202" s="230">
        <v>27461</v>
      </c>
      <c r="H202" s="230">
        <v>5624</v>
      </c>
      <c r="K202" s="230">
        <v>42707</v>
      </c>
      <c r="L202" s="230">
        <v>525560</v>
      </c>
      <c r="M202" s="230">
        <v>39961</v>
      </c>
      <c r="N202" s="229">
        <f t="shared" si="6"/>
        <v>565521</v>
      </c>
      <c r="O202" s="235">
        <f t="shared" si="7"/>
        <v>48331</v>
      </c>
    </row>
    <row r="203" spans="1:15" ht="13.8" x14ac:dyDescent="0.25">
      <c r="A203" s="226">
        <v>36302</v>
      </c>
      <c r="B203" s="227" t="s">
        <v>393</v>
      </c>
      <c r="C203" s="230">
        <v>3289303</v>
      </c>
      <c r="D203" s="230">
        <v>296423</v>
      </c>
      <c r="E203" s="230">
        <v>542390</v>
      </c>
      <c r="F203" s="230"/>
      <c r="G203" s="230">
        <v>29730</v>
      </c>
      <c r="H203" s="230">
        <v>9724</v>
      </c>
      <c r="K203" s="230">
        <v>10846</v>
      </c>
      <c r="L203" s="230">
        <v>908678</v>
      </c>
      <c r="M203" s="230">
        <v>79023</v>
      </c>
      <c r="N203" s="229">
        <f t="shared" si="6"/>
        <v>987701</v>
      </c>
      <c r="O203" s="235">
        <f t="shared" si="7"/>
        <v>20570</v>
      </c>
    </row>
    <row r="204" spans="1:15" ht="13.8" x14ac:dyDescent="0.25">
      <c r="A204" s="226">
        <v>36303</v>
      </c>
      <c r="B204" s="227" t="s">
        <v>394</v>
      </c>
      <c r="C204" s="230">
        <v>4440558</v>
      </c>
      <c r="D204" s="230">
        <v>400171</v>
      </c>
      <c r="E204" s="230">
        <v>732227</v>
      </c>
      <c r="F204" s="230"/>
      <c r="G204" s="230">
        <v>32460</v>
      </c>
      <c r="H204" s="230">
        <v>13127</v>
      </c>
      <c r="K204" s="230">
        <v>56455</v>
      </c>
      <c r="L204" s="230">
        <v>1226716</v>
      </c>
      <c r="M204" s="230">
        <v>8371</v>
      </c>
      <c r="N204" s="229">
        <f t="shared" si="6"/>
        <v>1235087</v>
      </c>
      <c r="O204" s="235">
        <f t="shared" si="7"/>
        <v>69582</v>
      </c>
    </row>
    <row r="205" spans="1:15" ht="13.8" x14ac:dyDescent="0.25">
      <c r="A205" s="226">
        <v>36305</v>
      </c>
      <c r="B205" s="227" t="s">
        <v>223</v>
      </c>
      <c r="C205" s="231">
        <v>15407863</v>
      </c>
      <c r="D205" s="231">
        <v>1388516</v>
      </c>
      <c r="E205" s="231">
        <v>2540684</v>
      </c>
      <c r="F205" s="231"/>
      <c r="G205" s="230">
        <v>533255</v>
      </c>
      <c r="H205" s="231">
        <v>45548</v>
      </c>
      <c r="K205" s="230">
        <v>0</v>
      </c>
      <c r="L205" s="231">
        <v>4256463</v>
      </c>
      <c r="M205" s="230">
        <v>396886</v>
      </c>
      <c r="N205" s="229">
        <f t="shared" si="6"/>
        <v>4653349</v>
      </c>
      <c r="O205" s="235">
        <f t="shared" si="7"/>
        <v>45548</v>
      </c>
    </row>
    <row r="206" spans="1:15" ht="13.8" x14ac:dyDescent="0.25">
      <c r="A206" s="226">
        <v>36400</v>
      </c>
      <c r="B206" s="227" t="s">
        <v>528</v>
      </c>
      <c r="C206" s="230">
        <v>72256494</v>
      </c>
      <c r="D206" s="230">
        <v>6511565</v>
      </c>
      <c r="E206" s="230">
        <v>11914753</v>
      </c>
      <c r="F206" s="230"/>
      <c r="G206" s="230">
        <v>679900</v>
      </c>
      <c r="H206" s="230">
        <v>213599</v>
      </c>
      <c r="K206" s="230">
        <v>973950</v>
      </c>
      <c r="L206" s="230">
        <v>19961045</v>
      </c>
      <c r="M206" s="230">
        <v>-301151</v>
      </c>
      <c r="N206" s="229">
        <f t="shared" si="6"/>
        <v>19659894</v>
      </c>
      <c r="O206" s="235">
        <f t="shared" si="7"/>
        <v>1187549</v>
      </c>
    </row>
    <row r="207" spans="1:15" ht="13.8" x14ac:dyDescent="0.25">
      <c r="A207" s="226">
        <v>36401</v>
      </c>
      <c r="B207" s="228" t="s">
        <v>568</v>
      </c>
      <c r="C207" s="230">
        <v>686012</v>
      </c>
      <c r="D207" s="230">
        <v>61822</v>
      </c>
      <c r="E207" s="230">
        <v>113120</v>
      </c>
      <c r="F207" s="230"/>
      <c r="G207" s="230">
        <v>317219</v>
      </c>
      <c r="H207" s="230">
        <v>2028</v>
      </c>
      <c r="K207" s="230">
        <v>0</v>
      </c>
      <c r="L207" s="230">
        <v>189513</v>
      </c>
      <c r="M207" s="230">
        <v>158610</v>
      </c>
      <c r="N207" s="229">
        <f t="shared" si="6"/>
        <v>348123</v>
      </c>
      <c r="O207" s="235">
        <f t="shared" si="7"/>
        <v>2028</v>
      </c>
    </row>
    <row r="208" spans="1:15" ht="13.8" x14ac:dyDescent="0.25">
      <c r="A208" s="191">
        <v>36405</v>
      </c>
      <c r="B208" s="192" t="s">
        <v>396</v>
      </c>
      <c r="C208" s="229">
        <v>9784934</v>
      </c>
      <c r="D208" s="229">
        <v>881792</v>
      </c>
      <c r="E208" s="229">
        <v>1613489</v>
      </c>
      <c r="F208" s="229"/>
      <c r="G208" s="229">
        <v>0</v>
      </c>
      <c r="H208" s="229">
        <v>28926</v>
      </c>
      <c r="K208" s="229">
        <v>513179</v>
      </c>
      <c r="L208" s="229">
        <v>2703114</v>
      </c>
      <c r="M208" s="229">
        <v>-403394</v>
      </c>
      <c r="N208" s="229">
        <f t="shared" si="6"/>
        <v>2299720</v>
      </c>
      <c r="O208" s="235">
        <f t="shared" si="7"/>
        <v>542105</v>
      </c>
    </row>
    <row r="209" spans="1:15" ht="13.8" x14ac:dyDescent="0.25">
      <c r="A209" s="191">
        <v>36500</v>
      </c>
      <c r="B209" s="192" t="s">
        <v>397</v>
      </c>
      <c r="C209" s="229">
        <v>165063720</v>
      </c>
      <c r="D209" s="229">
        <v>14875108</v>
      </c>
      <c r="E209" s="229">
        <v>27218225</v>
      </c>
      <c r="F209" s="229"/>
      <c r="G209" s="229">
        <v>2286833</v>
      </c>
      <c r="H209" s="229">
        <v>487950</v>
      </c>
      <c r="K209" s="229">
        <v>5914473</v>
      </c>
      <c r="L209" s="229">
        <v>45599284</v>
      </c>
      <c r="M209" s="229">
        <v>-1766695</v>
      </c>
      <c r="N209" s="229">
        <f t="shared" si="6"/>
        <v>43832589</v>
      </c>
      <c r="O209" s="235">
        <f t="shared" si="7"/>
        <v>6402423</v>
      </c>
    </row>
    <row r="210" spans="1:15" ht="13.8" x14ac:dyDescent="0.25">
      <c r="A210" s="191">
        <v>36501</v>
      </c>
      <c r="B210" s="192" t="s">
        <v>502</v>
      </c>
      <c r="C210" s="229">
        <v>2204722</v>
      </c>
      <c r="D210" s="229">
        <v>198684</v>
      </c>
      <c r="E210" s="229">
        <v>363548</v>
      </c>
      <c r="F210" s="229"/>
      <c r="G210" s="229">
        <v>8666</v>
      </c>
      <c r="H210" s="229">
        <v>6517</v>
      </c>
      <c r="K210" s="229">
        <v>131410</v>
      </c>
      <c r="L210" s="229">
        <v>609060</v>
      </c>
      <c r="M210" s="229">
        <v>-57496</v>
      </c>
      <c r="N210" s="229">
        <f t="shared" si="6"/>
        <v>551564</v>
      </c>
      <c r="O210" s="235">
        <f t="shared" si="7"/>
        <v>137927</v>
      </c>
    </row>
    <row r="211" spans="1:15" ht="13.8" x14ac:dyDescent="0.25">
      <c r="A211" s="191">
        <v>36502</v>
      </c>
      <c r="B211" s="192" t="s">
        <v>569</v>
      </c>
      <c r="C211" s="229">
        <v>309669</v>
      </c>
      <c r="D211" s="229">
        <v>27907</v>
      </c>
      <c r="E211" s="229">
        <v>51063</v>
      </c>
      <c r="F211" s="229"/>
      <c r="G211" s="229">
        <v>0</v>
      </c>
      <c r="H211" s="229">
        <v>915</v>
      </c>
      <c r="K211" s="229">
        <v>88507</v>
      </c>
      <c r="L211" s="229">
        <v>85547</v>
      </c>
      <c r="M211" s="229">
        <v>-65994</v>
      </c>
      <c r="N211" s="229">
        <f t="shared" si="6"/>
        <v>19553</v>
      </c>
      <c r="O211" s="235">
        <f t="shared" si="7"/>
        <v>89422</v>
      </c>
    </row>
    <row r="212" spans="1:15" ht="13.8" x14ac:dyDescent="0.25">
      <c r="A212" s="191">
        <v>36505</v>
      </c>
      <c r="B212" s="192" t="s">
        <v>185</v>
      </c>
      <c r="C212" s="229">
        <v>31799554</v>
      </c>
      <c r="D212" s="229">
        <v>2865692</v>
      </c>
      <c r="E212" s="229">
        <v>5243596</v>
      </c>
      <c r="F212" s="229"/>
      <c r="G212" s="229">
        <v>810469</v>
      </c>
      <c r="H212" s="229">
        <v>94004</v>
      </c>
      <c r="K212" s="229">
        <v>27822</v>
      </c>
      <c r="L212" s="229">
        <v>8784710</v>
      </c>
      <c r="M212" s="229">
        <v>325890</v>
      </c>
      <c r="N212" s="229">
        <f t="shared" si="6"/>
        <v>9110600</v>
      </c>
      <c r="O212" s="235">
        <f t="shared" si="7"/>
        <v>121826</v>
      </c>
    </row>
    <row r="213" spans="1:15" ht="13.8" x14ac:dyDescent="0.25">
      <c r="A213" s="191">
        <v>36600</v>
      </c>
      <c r="B213" s="192" t="s">
        <v>400</v>
      </c>
      <c r="C213" s="229">
        <v>7512056</v>
      </c>
      <c r="D213" s="229">
        <v>676967</v>
      </c>
      <c r="E213" s="229">
        <v>1238702</v>
      </c>
      <c r="F213" s="229"/>
      <c r="G213" s="229">
        <v>20593</v>
      </c>
      <c r="H213" s="229">
        <v>22207</v>
      </c>
      <c r="K213" s="229">
        <v>320897</v>
      </c>
      <c r="L213" s="229">
        <v>2075225</v>
      </c>
      <c r="M213" s="229">
        <v>-286393</v>
      </c>
      <c r="N213" s="229">
        <f t="shared" si="6"/>
        <v>1788832</v>
      </c>
      <c r="O213" s="235">
        <f t="shared" si="7"/>
        <v>343104</v>
      </c>
    </row>
    <row r="214" spans="1:15" ht="13.8" x14ac:dyDescent="0.25">
      <c r="A214" s="226">
        <v>36601</v>
      </c>
      <c r="B214" s="227" t="s">
        <v>503</v>
      </c>
      <c r="C214" s="230">
        <v>0</v>
      </c>
      <c r="D214" s="230">
        <v>0</v>
      </c>
      <c r="E214" s="230">
        <v>0</v>
      </c>
      <c r="F214" s="230"/>
      <c r="G214" s="230">
        <v>1026018</v>
      </c>
      <c r="H214" s="230" t="s">
        <v>575</v>
      </c>
      <c r="K214" s="230">
        <v>539427</v>
      </c>
      <c r="L214" s="230">
        <v>0</v>
      </c>
      <c r="M214" s="230">
        <v>489894</v>
      </c>
      <c r="N214" s="229">
        <f t="shared" si="6"/>
        <v>489894</v>
      </c>
      <c r="O214" s="235">
        <f t="shared" si="7"/>
        <v>539427</v>
      </c>
    </row>
    <row r="215" spans="1:15" ht="13.8" x14ac:dyDescent="0.25">
      <c r="A215" s="226">
        <v>36700</v>
      </c>
      <c r="B215" s="227" t="s">
        <v>401</v>
      </c>
      <c r="C215" s="230">
        <v>152528810</v>
      </c>
      <c r="D215" s="230">
        <v>13745495</v>
      </c>
      <c r="E215" s="230">
        <v>25151278</v>
      </c>
      <c r="F215" s="230"/>
      <c r="G215" s="230">
        <v>4317620</v>
      </c>
      <c r="H215" s="230">
        <v>450895</v>
      </c>
      <c r="K215" s="230">
        <v>373071</v>
      </c>
      <c r="L215" s="230">
        <v>42136482</v>
      </c>
      <c r="M215" s="230">
        <v>722985</v>
      </c>
      <c r="N215" s="229">
        <f t="shared" si="6"/>
        <v>42859467</v>
      </c>
      <c r="O215" s="235">
        <f t="shared" si="7"/>
        <v>823966</v>
      </c>
    </row>
    <row r="216" spans="1:15" ht="13.8" x14ac:dyDescent="0.25">
      <c r="A216" s="226">
        <v>36701</v>
      </c>
      <c r="B216" s="227" t="s">
        <v>402</v>
      </c>
      <c r="C216" s="230">
        <v>543772</v>
      </c>
      <c r="D216" s="230">
        <v>49003</v>
      </c>
      <c r="E216" s="230">
        <v>89665</v>
      </c>
      <c r="F216" s="230"/>
      <c r="G216" s="230">
        <v>57216</v>
      </c>
      <c r="H216" s="230">
        <v>1607</v>
      </c>
      <c r="K216" s="230">
        <v>70636</v>
      </c>
      <c r="L216" s="230">
        <v>150218</v>
      </c>
      <c r="M216" s="230">
        <v>-29531</v>
      </c>
      <c r="N216" s="229">
        <f t="shared" si="6"/>
        <v>120687</v>
      </c>
      <c r="O216" s="235">
        <f t="shared" si="7"/>
        <v>72243</v>
      </c>
    </row>
    <row r="217" spans="1:15" ht="13.8" x14ac:dyDescent="0.25">
      <c r="A217" s="226">
        <v>36705</v>
      </c>
      <c r="B217" s="227" t="s">
        <v>191</v>
      </c>
      <c r="C217" s="230">
        <v>13377979</v>
      </c>
      <c r="D217" s="230">
        <v>1205588</v>
      </c>
      <c r="E217" s="230">
        <v>2205965</v>
      </c>
      <c r="F217" s="230"/>
      <c r="G217" s="230">
        <v>232250</v>
      </c>
      <c r="H217" s="230">
        <v>39547</v>
      </c>
      <c r="K217" s="230">
        <v>837404</v>
      </c>
      <c r="L217" s="230">
        <v>3695702</v>
      </c>
      <c r="M217" s="230">
        <v>-311133</v>
      </c>
      <c r="N217" s="229">
        <f t="shared" si="6"/>
        <v>3384569</v>
      </c>
      <c r="O217" s="235">
        <f t="shared" si="7"/>
        <v>876951</v>
      </c>
    </row>
    <row r="218" spans="1:15" ht="13.8" x14ac:dyDescent="0.25">
      <c r="A218" s="226">
        <v>36800</v>
      </c>
      <c r="B218" s="227" t="s">
        <v>403</v>
      </c>
      <c r="C218" s="230">
        <v>51096796</v>
      </c>
      <c r="D218" s="230">
        <v>4604709</v>
      </c>
      <c r="E218" s="230">
        <v>8425620</v>
      </c>
      <c r="F218" s="230"/>
      <c r="G218" s="230">
        <v>614309</v>
      </c>
      <c r="H218" s="230">
        <v>151049</v>
      </c>
      <c r="K218" s="230">
        <v>674107</v>
      </c>
      <c r="L218" s="230">
        <v>14115623</v>
      </c>
      <c r="M218" s="230">
        <v>-122129</v>
      </c>
      <c r="N218" s="229">
        <f t="shared" si="6"/>
        <v>13993494</v>
      </c>
      <c r="O218" s="235">
        <f t="shared" si="7"/>
        <v>825156</v>
      </c>
    </row>
    <row r="219" spans="1:15" ht="13.8" x14ac:dyDescent="0.25">
      <c r="A219" s="226">
        <v>36802</v>
      </c>
      <c r="B219" s="228" t="s">
        <v>404</v>
      </c>
      <c r="C219" s="230">
        <v>4004948</v>
      </c>
      <c r="D219" s="230">
        <v>360915</v>
      </c>
      <c r="E219" s="230">
        <v>660397</v>
      </c>
      <c r="F219" s="230"/>
      <c r="G219" s="230">
        <v>0</v>
      </c>
      <c r="H219" s="230">
        <v>11839</v>
      </c>
      <c r="K219" s="230">
        <v>145658</v>
      </c>
      <c r="L219" s="230">
        <v>1106377</v>
      </c>
      <c r="M219" s="230">
        <v>-120082</v>
      </c>
      <c r="N219" s="229">
        <f t="shared" si="6"/>
        <v>986295</v>
      </c>
      <c r="O219" s="235">
        <f t="shared" si="7"/>
        <v>157497</v>
      </c>
    </row>
    <row r="220" spans="1:15" ht="13.8" x14ac:dyDescent="0.25">
      <c r="A220" s="191">
        <v>36810</v>
      </c>
      <c r="B220" s="192" t="s">
        <v>405</v>
      </c>
      <c r="C220" s="229">
        <v>99710316</v>
      </c>
      <c r="D220" s="229">
        <v>8985631</v>
      </c>
      <c r="E220" s="229">
        <v>16441759</v>
      </c>
      <c r="F220" s="229"/>
      <c r="G220" s="229">
        <v>168013</v>
      </c>
      <c r="H220" s="229">
        <v>294756</v>
      </c>
      <c r="K220" s="229">
        <v>1336092</v>
      </c>
      <c r="L220" s="229">
        <v>27545235</v>
      </c>
      <c r="M220" s="229">
        <v>-661389</v>
      </c>
      <c r="N220" s="229">
        <f t="shared" si="6"/>
        <v>26883846</v>
      </c>
      <c r="O220" s="235">
        <f t="shared" si="7"/>
        <v>1630848</v>
      </c>
    </row>
    <row r="221" spans="1:15" ht="13.8" x14ac:dyDescent="0.25">
      <c r="A221" s="191">
        <v>36900</v>
      </c>
      <c r="B221" s="192" t="s">
        <v>406</v>
      </c>
      <c r="C221" s="229">
        <v>9561202</v>
      </c>
      <c r="D221" s="229">
        <v>861630</v>
      </c>
      <c r="E221" s="229">
        <v>1576597</v>
      </c>
      <c r="F221" s="229"/>
      <c r="G221" s="229">
        <v>404063</v>
      </c>
      <c r="H221" s="229">
        <v>28264</v>
      </c>
      <c r="K221" s="229">
        <v>644618</v>
      </c>
      <c r="L221" s="229">
        <v>2641307</v>
      </c>
      <c r="M221" s="229">
        <v>-138096</v>
      </c>
      <c r="N221" s="229">
        <f t="shared" si="6"/>
        <v>2503211</v>
      </c>
      <c r="O221" s="235">
        <f t="shared" si="7"/>
        <v>672882</v>
      </c>
    </row>
    <row r="222" spans="1:15" ht="13.8" x14ac:dyDescent="0.25">
      <c r="A222" s="191">
        <v>36901</v>
      </c>
      <c r="B222" s="192" t="s">
        <v>407</v>
      </c>
      <c r="C222" s="229">
        <v>3284858</v>
      </c>
      <c r="D222" s="229">
        <v>296023</v>
      </c>
      <c r="E222" s="229">
        <v>541657</v>
      </c>
      <c r="F222" s="229"/>
      <c r="G222" s="229">
        <v>135524</v>
      </c>
      <c r="H222" s="229">
        <v>9710</v>
      </c>
      <c r="K222" s="229">
        <v>16915</v>
      </c>
      <c r="L222" s="229">
        <v>907450</v>
      </c>
      <c r="M222" s="229">
        <v>-10833</v>
      </c>
      <c r="N222" s="229">
        <f t="shared" si="6"/>
        <v>896617</v>
      </c>
      <c r="O222" s="235">
        <f t="shared" si="7"/>
        <v>26625</v>
      </c>
    </row>
    <row r="223" spans="1:15" ht="13.8" x14ac:dyDescent="0.25">
      <c r="A223" s="191">
        <v>36905</v>
      </c>
      <c r="B223" s="192" t="s">
        <v>213</v>
      </c>
      <c r="C223" s="229">
        <v>2665520</v>
      </c>
      <c r="D223" s="229">
        <v>240210</v>
      </c>
      <c r="E223" s="229">
        <v>439532</v>
      </c>
      <c r="F223" s="229"/>
      <c r="G223" s="229">
        <v>0</v>
      </c>
      <c r="H223" s="229">
        <v>7880</v>
      </c>
      <c r="K223" s="229">
        <v>119658</v>
      </c>
      <c r="L223" s="229">
        <v>736357</v>
      </c>
      <c r="M223" s="229">
        <v>-79533</v>
      </c>
      <c r="N223" s="229">
        <f t="shared" si="6"/>
        <v>656824</v>
      </c>
      <c r="O223" s="235">
        <f t="shared" si="7"/>
        <v>127538</v>
      </c>
    </row>
    <row r="224" spans="1:15" ht="13.8" x14ac:dyDescent="0.25">
      <c r="A224" s="191">
        <v>37000</v>
      </c>
      <c r="B224" s="192" t="s">
        <v>408</v>
      </c>
      <c r="C224" s="229">
        <v>27947218</v>
      </c>
      <c r="D224" s="229">
        <v>2518530</v>
      </c>
      <c r="E224" s="229">
        <v>4608364</v>
      </c>
      <c r="F224" s="229"/>
      <c r="G224" s="229">
        <v>0</v>
      </c>
      <c r="H224" s="229">
        <v>82616</v>
      </c>
      <c r="K224" s="229">
        <v>353714</v>
      </c>
      <c r="L224" s="229">
        <v>7720492</v>
      </c>
      <c r="M224" s="229">
        <v>-572202</v>
      </c>
      <c r="N224" s="229">
        <f t="shared" si="6"/>
        <v>7148290</v>
      </c>
      <c r="O224" s="235">
        <f t="shared" si="7"/>
        <v>436330</v>
      </c>
    </row>
    <row r="225" spans="1:15" ht="13.8" x14ac:dyDescent="0.25">
      <c r="A225" s="191">
        <v>37001</v>
      </c>
      <c r="B225" s="192" t="s">
        <v>504</v>
      </c>
      <c r="C225" s="229">
        <v>3324863</v>
      </c>
      <c r="D225" s="229">
        <v>299628</v>
      </c>
      <c r="E225" s="229">
        <v>548254</v>
      </c>
      <c r="F225" s="229"/>
      <c r="G225" s="229">
        <v>68057</v>
      </c>
      <c r="H225" s="229">
        <v>9829</v>
      </c>
      <c r="K225" s="229">
        <v>55862</v>
      </c>
      <c r="L225" s="229">
        <v>918502</v>
      </c>
      <c r="M225" s="229">
        <v>66938</v>
      </c>
      <c r="N225" s="229">
        <f t="shared" si="6"/>
        <v>985440</v>
      </c>
      <c r="O225" s="235">
        <f t="shared" si="7"/>
        <v>65691</v>
      </c>
    </row>
    <row r="226" spans="1:15" ht="13.8" x14ac:dyDescent="0.25">
      <c r="A226" s="226">
        <v>37005</v>
      </c>
      <c r="B226" s="227" t="s">
        <v>192</v>
      </c>
      <c r="C226" s="230">
        <v>9054472</v>
      </c>
      <c r="D226" s="230">
        <v>815965</v>
      </c>
      <c r="E226" s="230">
        <v>1493040</v>
      </c>
      <c r="F226" s="230"/>
      <c r="G226" s="230">
        <v>277217</v>
      </c>
      <c r="H226" s="230">
        <v>26766</v>
      </c>
      <c r="K226" s="230">
        <v>0</v>
      </c>
      <c r="L226" s="230">
        <v>2501322</v>
      </c>
      <c r="M226" s="230">
        <v>259223</v>
      </c>
      <c r="N226" s="229">
        <f t="shared" si="6"/>
        <v>2760545</v>
      </c>
      <c r="O226" s="235">
        <f t="shared" si="7"/>
        <v>26766</v>
      </c>
    </row>
    <row r="227" spans="1:15" ht="13.8" x14ac:dyDescent="0.25">
      <c r="A227" s="226">
        <v>37100</v>
      </c>
      <c r="B227" s="227" t="s">
        <v>410</v>
      </c>
      <c r="C227" s="230">
        <v>60394261</v>
      </c>
      <c r="D227" s="230">
        <v>5442572</v>
      </c>
      <c r="E227" s="230">
        <v>9958728</v>
      </c>
      <c r="F227" s="230"/>
      <c r="G227" s="230">
        <v>2288821</v>
      </c>
      <c r="H227" s="230">
        <v>178533</v>
      </c>
      <c r="K227" s="230">
        <v>0</v>
      </c>
      <c r="L227" s="230">
        <v>16684072</v>
      </c>
      <c r="M227" s="230">
        <v>1051194</v>
      </c>
      <c r="N227" s="229">
        <f t="shared" si="6"/>
        <v>17735266</v>
      </c>
      <c r="O227" s="235">
        <f t="shared" si="7"/>
        <v>178533</v>
      </c>
    </row>
    <row r="228" spans="1:15" ht="13.8" x14ac:dyDescent="0.25">
      <c r="A228" s="226">
        <v>37200</v>
      </c>
      <c r="B228" s="227" t="s">
        <v>411</v>
      </c>
      <c r="C228" s="230">
        <v>10635411</v>
      </c>
      <c r="D228" s="230">
        <v>958435</v>
      </c>
      <c r="E228" s="230">
        <v>1753729</v>
      </c>
      <c r="F228" s="230"/>
      <c r="G228" s="230">
        <v>316682</v>
      </c>
      <c r="H228" s="230">
        <v>31440</v>
      </c>
      <c r="K228" s="230">
        <v>0</v>
      </c>
      <c r="L228" s="230">
        <v>2938060</v>
      </c>
      <c r="M228" s="230">
        <v>117473</v>
      </c>
      <c r="N228" s="229">
        <f t="shared" si="6"/>
        <v>3055533</v>
      </c>
      <c r="O228" s="235">
        <f t="shared" si="7"/>
        <v>31440</v>
      </c>
    </row>
    <row r="229" spans="1:15" ht="13.8" x14ac:dyDescent="0.25">
      <c r="A229" s="226">
        <v>37300</v>
      </c>
      <c r="B229" s="227" t="s">
        <v>412</v>
      </c>
      <c r="C229" s="230">
        <v>26938202</v>
      </c>
      <c r="D229" s="230">
        <v>2427600</v>
      </c>
      <c r="E229" s="230">
        <v>4441982</v>
      </c>
      <c r="F229" s="230"/>
      <c r="G229" s="230">
        <v>322325</v>
      </c>
      <c r="H229" s="230">
        <v>79633</v>
      </c>
      <c r="K229" s="230">
        <v>632821</v>
      </c>
      <c r="L229" s="230">
        <v>7441749</v>
      </c>
      <c r="M229" s="230">
        <v>-217986</v>
      </c>
      <c r="N229" s="229">
        <f t="shared" si="6"/>
        <v>7223763</v>
      </c>
      <c r="O229" s="235">
        <f t="shared" si="7"/>
        <v>712454</v>
      </c>
    </row>
    <row r="230" spans="1:15" ht="13.8" x14ac:dyDescent="0.25">
      <c r="A230" s="226">
        <v>37301</v>
      </c>
      <c r="B230" s="227" t="s">
        <v>413</v>
      </c>
      <c r="C230" s="230">
        <v>2902587</v>
      </c>
      <c r="D230" s="230">
        <v>261574</v>
      </c>
      <c r="E230" s="230">
        <v>478623</v>
      </c>
      <c r="F230" s="230"/>
      <c r="G230" s="230">
        <v>67633</v>
      </c>
      <c r="H230" s="230">
        <v>8580</v>
      </c>
      <c r="K230" s="230">
        <v>94773</v>
      </c>
      <c r="L230" s="230">
        <v>801847</v>
      </c>
      <c r="M230" s="230">
        <v>-36363</v>
      </c>
      <c r="N230" s="229">
        <f t="shared" si="6"/>
        <v>765484</v>
      </c>
      <c r="O230" s="235">
        <f t="shared" si="7"/>
        <v>103353</v>
      </c>
    </row>
    <row r="231" spans="1:15" ht="13.8" x14ac:dyDescent="0.25">
      <c r="A231" s="226">
        <v>37305</v>
      </c>
      <c r="B231" s="227" t="s">
        <v>214</v>
      </c>
      <c r="C231" s="230">
        <v>6274863</v>
      </c>
      <c r="D231" s="230">
        <v>565474</v>
      </c>
      <c r="E231" s="230">
        <v>1034695</v>
      </c>
      <c r="F231" s="230"/>
      <c r="G231" s="230">
        <v>141031</v>
      </c>
      <c r="H231" s="230">
        <v>18549</v>
      </c>
      <c r="K231" s="230">
        <v>70839</v>
      </c>
      <c r="L231" s="230">
        <v>1733447</v>
      </c>
      <c r="M231" s="230">
        <v>70535</v>
      </c>
      <c r="N231" s="229">
        <f t="shared" si="6"/>
        <v>1803982</v>
      </c>
      <c r="O231" s="235">
        <f t="shared" si="7"/>
        <v>89388</v>
      </c>
    </row>
    <row r="232" spans="1:15" ht="13.8" x14ac:dyDescent="0.25">
      <c r="A232" s="191">
        <v>37400</v>
      </c>
      <c r="B232" s="192" t="s">
        <v>414</v>
      </c>
      <c r="C232" s="229">
        <v>135262935</v>
      </c>
      <c r="D232" s="229">
        <v>12189539</v>
      </c>
      <c r="E232" s="229">
        <v>22304217</v>
      </c>
      <c r="F232" s="229"/>
      <c r="G232" s="229">
        <v>933295</v>
      </c>
      <c r="H232" s="229">
        <v>399855</v>
      </c>
      <c r="K232" s="229">
        <v>5350736</v>
      </c>
      <c r="L232" s="229">
        <v>37366739</v>
      </c>
      <c r="M232" s="229">
        <v>-2744273</v>
      </c>
      <c r="N232" s="229">
        <f t="shared" si="6"/>
        <v>34622466</v>
      </c>
      <c r="O232" s="235">
        <f t="shared" si="7"/>
        <v>5750591</v>
      </c>
    </row>
    <row r="233" spans="1:15" ht="13.8" x14ac:dyDescent="0.25">
      <c r="A233" s="191">
        <v>37405</v>
      </c>
      <c r="B233" s="192" t="s">
        <v>215</v>
      </c>
      <c r="C233" s="229">
        <v>24211934</v>
      </c>
      <c r="D233" s="229">
        <v>2181916</v>
      </c>
      <c r="E233" s="229">
        <v>3992433</v>
      </c>
      <c r="F233" s="229"/>
      <c r="G233" s="229">
        <v>0</v>
      </c>
      <c r="H233" s="229">
        <v>71574</v>
      </c>
      <c r="K233" s="229">
        <v>596707</v>
      </c>
      <c r="L233" s="229">
        <v>6688610</v>
      </c>
      <c r="M233" s="229">
        <v>-369651</v>
      </c>
      <c r="N233" s="229">
        <f t="shared" si="6"/>
        <v>6318959</v>
      </c>
      <c r="O233" s="235">
        <f t="shared" si="7"/>
        <v>668281</v>
      </c>
    </row>
    <row r="234" spans="1:15" ht="13.8" x14ac:dyDescent="0.25">
      <c r="A234" s="191">
        <v>37500</v>
      </c>
      <c r="B234" s="192" t="s">
        <v>415</v>
      </c>
      <c r="C234" s="229">
        <v>14921876</v>
      </c>
      <c r="D234" s="229">
        <v>1344720</v>
      </c>
      <c r="E234" s="229">
        <v>2460547</v>
      </c>
      <c r="F234" s="229"/>
      <c r="G234" s="229">
        <v>328141</v>
      </c>
      <c r="H234" s="229">
        <v>44111</v>
      </c>
      <c r="K234" s="229">
        <v>0</v>
      </c>
      <c r="L234" s="229">
        <v>4122207</v>
      </c>
      <c r="M234" s="229">
        <v>157525</v>
      </c>
      <c r="N234" s="229">
        <f t="shared" si="6"/>
        <v>4279732</v>
      </c>
      <c r="O234" s="235">
        <f t="shared" si="7"/>
        <v>44111</v>
      </c>
    </row>
    <row r="235" spans="1:15" ht="13.8" x14ac:dyDescent="0.25">
      <c r="A235" s="191">
        <v>37600</v>
      </c>
      <c r="B235" s="192" t="s">
        <v>416</v>
      </c>
      <c r="C235" s="229">
        <v>82688917</v>
      </c>
      <c r="D235" s="229">
        <v>7451707</v>
      </c>
      <c r="E235" s="229">
        <v>13635011</v>
      </c>
      <c r="F235" s="229"/>
      <c r="G235" s="229">
        <v>145230</v>
      </c>
      <c r="H235" s="229">
        <v>244439</v>
      </c>
      <c r="K235" s="229">
        <v>1609100</v>
      </c>
      <c r="L235" s="229">
        <v>22843029</v>
      </c>
      <c r="M235" s="229">
        <v>-1397145</v>
      </c>
      <c r="N235" s="229">
        <f t="shared" si="6"/>
        <v>21445884</v>
      </c>
      <c r="O235" s="235">
        <f t="shared" si="7"/>
        <v>1853539</v>
      </c>
    </row>
    <row r="236" spans="1:15" ht="13.8" x14ac:dyDescent="0.25">
      <c r="A236" s="191">
        <v>37601</v>
      </c>
      <c r="B236" s="192" t="s">
        <v>417</v>
      </c>
      <c r="C236" s="229">
        <v>8832222</v>
      </c>
      <c r="D236" s="229">
        <v>795937</v>
      </c>
      <c r="E236" s="229">
        <v>1456392</v>
      </c>
      <c r="F236" s="229"/>
      <c r="G236" s="229">
        <v>15828</v>
      </c>
      <c r="H236" s="229">
        <v>26109</v>
      </c>
      <c r="K236" s="229">
        <v>270808</v>
      </c>
      <c r="L236" s="229">
        <v>2439924</v>
      </c>
      <c r="M236" s="229">
        <v>-128481</v>
      </c>
      <c r="N236" s="229">
        <f t="shared" si="6"/>
        <v>2311443</v>
      </c>
      <c r="O236" s="235">
        <f t="shared" si="7"/>
        <v>296917</v>
      </c>
    </row>
    <row r="237" spans="1:15" ht="13.8" x14ac:dyDescent="0.25">
      <c r="A237" s="191">
        <v>37605</v>
      </c>
      <c r="B237" s="192" t="s">
        <v>216</v>
      </c>
      <c r="C237" s="229">
        <v>9996813</v>
      </c>
      <c r="D237" s="229">
        <v>900886</v>
      </c>
      <c r="E237" s="229">
        <v>1648427</v>
      </c>
      <c r="F237" s="229"/>
      <c r="G237" s="229">
        <v>36398</v>
      </c>
      <c r="H237" s="229">
        <v>29552</v>
      </c>
      <c r="K237" s="229">
        <v>84739</v>
      </c>
      <c r="L237" s="229">
        <v>2761646</v>
      </c>
      <c r="M237" s="229">
        <v>-96521</v>
      </c>
      <c r="N237" s="229">
        <f t="shared" si="6"/>
        <v>2665125</v>
      </c>
      <c r="O237" s="235">
        <f t="shared" si="7"/>
        <v>114291</v>
      </c>
    </row>
    <row r="238" spans="1:15" ht="13.8" x14ac:dyDescent="0.25">
      <c r="A238" s="191">
        <v>37610</v>
      </c>
      <c r="B238" s="192" t="s">
        <v>418</v>
      </c>
      <c r="C238" s="229">
        <v>24918689</v>
      </c>
      <c r="D238" s="229">
        <v>2245607</v>
      </c>
      <c r="E238" s="229">
        <v>4108974</v>
      </c>
      <c r="F238" s="229"/>
      <c r="G238" s="229">
        <v>0</v>
      </c>
      <c r="H238" s="229">
        <v>73663</v>
      </c>
      <c r="K238" s="229">
        <v>971407</v>
      </c>
      <c r="L238" s="229">
        <v>6883853</v>
      </c>
      <c r="M238" s="229">
        <v>-880767</v>
      </c>
      <c r="N238" s="229">
        <f t="shared" si="6"/>
        <v>6003086</v>
      </c>
      <c r="O238" s="235">
        <f t="shared" si="7"/>
        <v>1045070</v>
      </c>
    </row>
    <row r="239" spans="1:15" ht="13.8" x14ac:dyDescent="0.25">
      <c r="A239" s="191">
        <v>37700</v>
      </c>
      <c r="B239" s="192" t="s">
        <v>419</v>
      </c>
      <c r="C239" s="229">
        <v>37858094</v>
      </c>
      <c r="D239" s="229">
        <v>3411672</v>
      </c>
      <c r="E239" s="229">
        <v>6242620</v>
      </c>
      <c r="F239" s="229"/>
      <c r="G239" s="229">
        <v>757433</v>
      </c>
      <c r="H239" s="229">
        <v>111913</v>
      </c>
      <c r="K239" s="229">
        <v>497682</v>
      </c>
      <c r="L239" s="229">
        <v>10458397</v>
      </c>
      <c r="M239" s="229">
        <v>30236</v>
      </c>
      <c r="N239" s="229">
        <f t="shared" si="6"/>
        <v>10488633</v>
      </c>
      <c r="O239" s="235">
        <f t="shared" si="7"/>
        <v>609595</v>
      </c>
    </row>
    <row r="240" spans="1:15" ht="13.8" x14ac:dyDescent="0.25">
      <c r="A240" s="191">
        <v>37705</v>
      </c>
      <c r="B240" s="192" t="s">
        <v>217</v>
      </c>
      <c r="C240" s="229">
        <v>10681343</v>
      </c>
      <c r="D240" s="229">
        <v>962575</v>
      </c>
      <c r="E240" s="229">
        <v>1761303</v>
      </c>
      <c r="F240" s="229"/>
      <c r="G240" s="229">
        <v>196659</v>
      </c>
      <c r="H240" s="229">
        <v>31575</v>
      </c>
      <c r="K240" s="229">
        <v>93559</v>
      </c>
      <c r="L240" s="229">
        <v>2950749</v>
      </c>
      <c r="M240" s="229">
        <v>-6766</v>
      </c>
      <c r="N240" s="229">
        <f t="shared" si="6"/>
        <v>2943983</v>
      </c>
      <c r="O240" s="235">
        <f t="shared" si="7"/>
        <v>125134</v>
      </c>
    </row>
    <row r="241" spans="1:15" ht="13.8" x14ac:dyDescent="0.25">
      <c r="A241" s="191">
        <v>37800</v>
      </c>
      <c r="B241" s="192" t="s">
        <v>420</v>
      </c>
      <c r="C241" s="229">
        <v>115418958</v>
      </c>
      <c r="D241" s="229">
        <v>10401253</v>
      </c>
      <c r="E241" s="229">
        <v>19032039</v>
      </c>
      <c r="F241" s="229"/>
      <c r="G241" s="229">
        <v>2578053</v>
      </c>
      <c r="H241" s="229">
        <v>341193</v>
      </c>
      <c r="K241" s="229">
        <v>4063845</v>
      </c>
      <c r="L241" s="229">
        <v>31884789</v>
      </c>
      <c r="M241" s="229">
        <v>-681908</v>
      </c>
      <c r="N241" s="229">
        <f t="shared" si="6"/>
        <v>31202881</v>
      </c>
      <c r="O241" s="235">
        <f t="shared" si="7"/>
        <v>4405038</v>
      </c>
    </row>
    <row r="242" spans="1:15" ht="13.8" x14ac:dyDescent="0.25">
      <c r="A242" s="191">
        <v>37801</v>
      </c>
      <c r="B242" s="192" t="s">
        <v>421</v>
      </c>
      <c r="C242" s="229">
        <v>986791</v>
      </c>
      <c r="D242" s="229">
        <v>88927</v>
      </c>
      <c r="E242" s="229">
        <v>162717</v>
      </c>
      <c r="F242" s="229"/>
      <c r="G242" s="229">
        <v>0</v>
      </c>
      <c r="H242" s="229">
        <v>2917</v>
      </c>
      <c r="K242" s="229">
        <v>73837</v>
      </c>
      <c r="L242" s="229">
        <v>272604</v>
      </c>
      <c r="M242" s="229">
        <v>-60476</v>
      </c>
      <c r="N242" s="229">
        <f t="shared" si="6"/>
        <v>212128</v>
      </c>
      <c r="O242" s="235">
        <f t="shared" si="7"/>
        <v>76754</v>
      </c>
    </row>
    <row r="243" spans="1:15" ht="13.8" x14ac:dyDescent="0.25">
      <c r="A243" s="191">
        <v>37805</v>
      </c>
      <c r="B243" s="192" t="s">
        <v>219</v>
      </c>
      <c r="C243" s="229">
        <v>9287094</v>
      </c>
      <c r="D243" s="229">
        <v>836928</v>
      </c>
      <c r="E243" s="229">
        <v>1531398</v>
      </c>
      <c r="F243" s="229"/>
      <c r="G243" s="229">
        <v>200172</v>
      </c>
      <c r="H243" s="229">
        <v>27454</v>
      </c>
      <c r="K243" s="229">
        <v>0</v>
      </c>
      <c r="L243" s="229">
        <v>2565584</v>
      </c>
      <c r="M243" s="229">
        <v>150793</v>
      </c>
      <c r="N243" s="229">
        <f t="shared" si="6"/>
        <v>2716377</v>
      </c>
      <c r="O243" s="235">
        <f t="shared" si="7"/>
        <v>27454</v>
      </c>
    </row>
    <row r="244" spans="1:15" ht="13.8" x14ac:dyDescent="0.25">
      <c r="A244" s="226">
        <v>37900</v>
      </c>
      <c r="B244" s="227" t="s">
        <v>422</v>
      </c>
      <c r="C244" s="230">
        <v>60915808</v>
      </c>
      <c r="D244" s="230">
        <v>5489572</v>
      </c>
      <c r="E244" s="230">
        <v>10044728</v>
      </c>
      <c r="F244" s="230"/>
      <c r="G244" s="230">
        <v>624657</v>
      </c>
      <c r="H244" s="230">
        <v>180075</v>
      </c>
      <c r="K244" s="230">
        <v>153264</v>
      </c>
      <c r="L244" s="230">
        <v>16828151</v>
      </c>
      <c r="M244" s="230">
        <v>401624</v>
      </c>
      <c r="N244" s="229">
        <f t="shared" si="6"/>
        <v>17229775</v>
      </c>
      <c r="O244" s="235">
        <f t="shared" si="7"/>
        <v>333339</v>
      </c>
    </row>
    <row r="245" spans="1:15" ht="13.8" x14ac:dyDescent="0.25">
      <c r="A245" s="226">
        <v>37901</v>
      </c>
      <c r="B245" s="227" t="s">
        <v>423</v>
      </c>
      <c r="C245" s="230">
        <v>2548469</v>
      </c>
      <c r="D245" s="230">
        <v>229661</v>
      </c>
      <c r="E245" s="230">
        <v>420230</v>
      </c>
      <c r="F245" s="230"/>
      <c r="G245" s="230">
        <v>169475</v>
      </c>
      <c r="H245" s="230">
        <v>7534</v>
      </c>
      <c r="K245" s="230">
        <v>0</v>
      </c>
      <c r="L245" s="230">
        <v>704021</v>
      </c>
      <c r="M245" s="230">
        <v>106311</v>
      </c>
      <c r="N245" s="229">
        <f t="shared" si="6"/>
        <v>810332</v>
      </c>
      <c r="O245" s="235">
        <f t="shared" si="7"/>
        <v>7534</v>
      </c>
    </row>
    <row r="246" spans="1:15" ht="13.8" x14ac:dyDescent="0.25">
      <c r="A246" s="226">
        <v>37905</v>
      </c>
      <c r="B246" s="227" t="s">
        <v>220</v>
      </c>
      <c r="C246" s="230">
        <v>6503040</v>
      </c>
      <c r="D246" s="230">
        <v>586037</v>
      </c>
      <c r="E246" s="230">
        <v>1072320</v>
      </c>
      <c r="F246" s="230"/>
      <c r="G246" s="230">
        <v>98409</v>
      </c>
      <c r="H246" s="230">
        <v>19224</v>
      </c>
      <c r="K246" s="230">
        <v>6809</v>
      </c>
      <c r="L246" s="230">
        <v>1796482</v>
      </c>
      <c r="M246" s="230">
        <v>91740</v>
      </c>
      <c r="N246" s="229">
        <f t="shared" si="6"/>
        <v>1888222</v>
      </c>
      <c r="O246" s="235">
        <f t="shared" si="7"/>
        <v>26033</v>
      </c>
    </row>
    <row r="247" spans="1:15" ht="13.8" x14ac:dyDescent="0.25">
      <c r="A247" s="226">
        <v>38000</v>
      </c>
      <c r="B247" s="227" t="s">
        <v>424</v>
      </c>
      <c r="C247" s="230">
        <v>96346930</v>
      </c>
      <c r="D247" s="230">
        <v>8682532</v>
      </c>
      <c r="E247" s="230">
        <v>15887152</v>
      </c>
      <c r="F247" s="230"/>
      <c r="G247" s="230">
        <v>107279</v>
      </c>
      <c r="H247" s="230">
        <v>284814</v>
      </c>
      <c r="K247" s="230">
        <v>2001669</v>
      </c>
      <c r="L247" s="230">
        <v>26616091</v>
      </c>
      <c r="M247" s="230">
        <v>-1802920</v>
      </c>
      <c r="N247" s="229">
        <f t="shared" si="6"/>
        <v>24813171</v>
      </c>
      <c r="O247" s="235">
        <f t="shared" si="7"/>
        <v>2286483</v>
      </c>
    </row>
    <row r="248" spans="1:15" ht="13.8" x14ac:dyDescent="0.25">
      <c r="A248" s="226">
        <v>38005</v>
      </c>
      <c r="B248" s="227" t="s">
        <v>221</v>
      </c>
      <c r="C248" s="230">
        <v>21884233</v>
      </c>
      <c r="D248" s="230">
        <v>1972149</v>
      </c>
      <c r="E248" s="230">
        <v>3608606</v>
      </c>
      <c r="F248" s="230"/>
      <c r="G248" s="230">
        <v>369635</v>
      </c>
      <c r="H248" s="230">
        <v>64693</v>
      </c>
      <c r="K248" s="230">
        <v>0</v>
      </c>
      <c r="L248" s="230">
        <v>6045577</v>
      </c>
      <c r="M248" s="230">
        <v>220913</v>
      </c>
      <c r="N248" s="229">
        <f t="shared" si="6"/>
        <v>6266490</v>
      </c>
      <c r="O248" s="235">
        <f t="shared" si="7"/>
        <v>64693</v>
      </c>
    </row>
    <row r="249" spans="1:15" ht="13.8" x14ac:dyDescent="0.25">
      <c r="A249" s="226">
        <v>38100</v>
      </c>
      <c r="B249" s="227" t="s">
        <v>425</v>
      </c>
      <c r="C249" s="230">
        <v>44230747</v>
      </c>
      <c r="D249" s="230">
        <v>3985958</v>
      </c>
      <c r="E249" s="230">
        <v>7293441</v>
      </c>
      <c r="F249" s="230"/>
      <c r="G249" s="230">
        <v>1222791</v>
      </c>
      <c r="H249" s="230">
        <v>130752</v>
      </c>
      <c r="K249" s="230">
        <v>2362191</v>
      </c>
      <c r="L249" s="230">
        <v>12218859</v>
      </c>
      <c r="M249" s="230">
        <v>-835582</v>
      </c>
      <c r="N249" s="229">
        <f t="shared" si="6"/>
        <v>11383277</v>
      </c>
      <c r="O249" s="235">
        <f t="shared" si="7"/>
        <v>2492943</v>
      </c>
    </row>
    <row r="250" spans="1:15" ht="13.8" x14ac:dyDescent="0.25">
      <c r="A250" s="191">
        <v>38105</v>
      </c>
      <c r="B250" s="192" t="s">
        <v>203</v>
      </c>
      <c r="C250" s="229">
        <v>8241036</v>
      </c>
      <c r="D250" s="229">
        <v>742660</v>
      </c>
      <c r="E250" s="229">
        <v>1358908</v>
      </c>
      <c r="F250" s="229"/>
      <c r="G250" s="229">
        <v>123303</v>
      </c>
      <c r="H250" s="229">
        <v>24362</v>
      </c>
      <c r="K250" s="229">
        <v>210591</v>
      </c>
      <c r="L250" s="229">
        <v>2276608</v>
      </c>
      <c r="M250" s="229">
        <v>-71645</v>
      </c>
      <c r="N250" s="229">
        <f t="shared" si="6"/>
        <v>2204963</v>
      </c>
      <c r="O250" s="235">
        <f t="shared" si="7"/>
        <v>234953</v>
      </c>
    </row>
    <row r="251" spans="1:15" ht="13.8" x14ac:dyDescent="0.25">
      <c r="A251" s="191">
        <v>38200</v>
      </c>
      <c r="B251" s="192" t="s">
        <v>426</v>
      </c>
      <c r="C251" s="229">
        <v>42163821</v>
      </c>
      <c r="D251" s="229">
        <v>3799692</v>
      </c>
      <c r="E251" s="229">
        <v>6952614</v>
      </c>
      <c r="F251" s="229"/>
      <c r="G251" s="229">
        <v>545127</v>
      </c>
      <c r="H251" s="229">
        <v>124642</v>
      </c>
      <c r="K251" s="229">
        <v>462898</v>
      </c>
      <c r="L251" s="229">
        <v>11647866</v>
      </c>
      <c r="M251" s="229">
        <v>-71002</v>
      </c>
      <c r="N251" s="229">
        <f t="shared" si="6"/>
        <v>11576864</v>
      </c>
      <c r="O251" s="235">
        <f t="shared" si="7"/>
        <v>587540</v>
      </c>
    </row>
    <row r="252" spans="1:15" ht="13.8" x14ac:dyDescent="0.25">
      <c r="A252" s="191">
        <v>38205</v>
      </c>
      <c r="B252" s="192" t="s">
        <v>222</v>
      </c>
      <c r="C252" s="229">
        <v>6468962</v>
      </c>
      <c r="D252" s="229">
        <v>582966</v>
      </c>
      <c r="E252" s="229">
        <v>1066701</v>
      </c>
      <c r="F252" s="229"/>
      <c r="G252" s="229">
        <v>121301</v>
      </c>
      <c r="H252" s="229">
        <v>19123</v>
      </c>
      <c r="K252" s="229">
        <v>85782</v>
      </c>
      <c r="L252" s="229">
        <v>1787068</v>
      </c>
      <c r="M252" s="229">
        <v>-15785</v>
      </c>
      <c r="N252" s="229">
        <f t="shared" si="6"/>
        <v>1771283</v>
      </c>
      <c r="O252" s="235">
        <f t="shared" si="7"/>
        <v>104905</v>
      </c>
    </row>
    <row r="253" spans="1:15" ht="13.8" x14ac:dyDescent="0.25">
      <c r="A253" s="191">
        <v>38210</v>
      </c>
      <c r="B253" s="192" t="s">
        <v>427</v>
      </c>
      <c r="C253" s="229">
        <v>16399099</v>
      </c>
      <c r="D253" s="229">
        <v>1477844</v>
      </c>
      <c r="E253" s="229">
        <v>2704134</v>
      </c>
      <c r="F253" s="229"/>
      <c r="G253" s="229">
        <v>229009</v>
      </c>
      <c r="H253" s="229">
        <v>48478</v>
      </c>
      <c r="K253" s="229">
        <v>344163</v>
      </c>
      <c r="L253" s="229">
        <v>4530294</v>
      </c>
      <c r="M253" s="229">
        <v>-16352</v>
      </c>
      <c r="N253" s="229">
        <f t="shared" si="6"/>
        <v>4513942</v>
      </c>
      <c r="O253" s="235">
        <f t="shared" si="7"/>
        <v>392641</v>
      </c>
    </row>
    <row r="254" spans="1:15" ht="13.8" x14ac:dyDescent="0.25">
      <c r="A254" s="191">
        <v>38300</v>
      </c>
      <c r="B254" s="192" t="s">
        <v>428</v>
      </c>
      <c r="C254" s="229">
        <v>33090087</v>
      </c>
      <c r="D254" s="229">
        <v>2981991</v>
      </c>
      <c r="E254" s="229">
        <v>5456399</v>
      </c>
      <c r="F254" s="229"/>
      <c r="G254" s="229">
        <v>423210</v>
      </c>
      <c r="H254" s="229">
        <v>97819</v>
      </c>
      <c r="K254" s="229">
        <v>961482</v>
      </c>
      <c r="L254" s="229">
        <v>9141223</v>
      </c>
      <c r="M254" s="229">
        <v>-439656</v>
      </c>
      <c r="N254" s="229">
        <f t="shared" si="6"/>
        <v>8701567</v>
      </c>
      <c r="O254" s="235">
        <f t="shared" si="7"/>
        <v>1059301</v>
      </c>
    </row>
    <row r="255" spans="1:15" ht="13.8" x14ac:dyDescent="0.25">
      <c r="A255" s="191">
        <v>38400</v>
      </c>
      <c r="B255" s="192" t="s">
        <v>429</v>
      </c>
      <c r="C255" s="229">
        <v>42938733</v>
      </c>
      <c r="D255" s="229">
        <v>3869526</v>
      </c>
      <c r="E255" s="229">
        <v>7080394</v>
      </c>
      <c r="F255" s="229"/>
      <c r="G255" s="229">
        <v>436979</v>
      </c>
      <c r="H255" s="229">
        <v>126932</v>
      </c>
      <c r="K255" s="229">
        <v>280409</v>
      </c>
      <c r="L255" s="229">
        <v>11861937</v>
      </c>
      <c r="M255" s="229">
        <v>-244348</v>
      </c>
      <c r="N255" s="229">
        <f t="shared" si="6"/>
        <v>11617589</v>
      </c>
      <c r="O255" s="235">
        <f t="shared" si="7"/>
        <v>407341</v>
      </c>
    </row>
    <row r="256" spans="1:15" ht="13.8" x14ac:dyDescent="0.25">
      <c r="A256" s="226">
        <v>38402</v>
      </c>
      <c r="B256" s="227" t="s">
        <v>430</v>
      </c>
      <c r="C256" s="230">
        <v>3075942</v>
      </c>
      <c r="D256" s="230">
        <v>277196</v>
      </c>
      <c r="E256" s="230">
        <v>507208</v>
      </c>
      <c r="F256" s="230"/>
      <c r="G256" s="230">
        <v>0</v>
      </c>
      <c r="H256" s="230">
        <v>9093</v>
      </c>
      <c r="K256" s="230">
        <v>54608</v>
      </c>
      <c r="L256" s="230">
        <v>849737</v>
      </c>
      <c r="M256" s="230">
        <v>-78135</v>
      </c>
      <c r="N256" s="229">
        <f t="shared" si="6"/>
        <v>771602</v>
      </c>
      <c r="O256" s="235">
        <f t="shared" si="7"/>
        <v>63701</v>
      </c>
    </row>
    <row r="257" spans="1:15" ht="13.8" x14ac:dyDescent="0.25">
      <c r="A257" s="226">
        <v>38405</v>
      </c>
      <c r="B257" s="227" t="s">
        <v>227</v>
      </c>
      <c r="C257" s="230">
        <v>10067933</v>
      </c>
      <c r="D257" s="230">
        <v>907296</v>
      </c>
      <c r="E257" s="230">
        <v>1660154</v>
      </c>
      <c r="F257" s="230"/>
      <c r="G257" s="230">
        <v>13607</v>
      </c>
      <c r="H257" s="230">
        <v>29762</v>
      </c>
      <c r="K257" s="230">
        <v>251283</v>
      </c>
      <c r="L257" s="230">
        <v>2781293</v>
      </c>
      <c r="M257" s="230">
        <v>-170396</v>
      </c>
      <c r="N257" s="229">
        <f t="shared" si="6"/>
        <v>2610897</v>
      </c>
      <c r="O257" s="235">
        <f t="shared" si="7"/>
        <v>281045</v>
      </c>
    </row>
    <row r="258" spans="1:15" ht="13.8" x14ac:dyDescent="0.25">
      <c r="A258" s="226">
        <v>38500</v>
      </c>
      <c r="B258" s="227" t="s">
        <v>431</v>
      </c>
      <c r="C258" s="231">
        <v>31809926</v>
      </c>
      <c r="D258" s="231">
        <v>2866627</v>
      </c>
      <c r="E258" s="231">
        <v>5245306</v>
      </c>
      <c r="F258" s="231"/>
      <c r="G258" s="230">
        <v>336737</v>
      </c>
      <c r="H258" s="231">
        <v>94034</v>
      </c>
      <c r="K258" s="230">
        <v>413499</v>
      </c>
      <c r="L258" s="231">
        <v>8787575</v>
      </c>
      <c r="M258" s="230">
        <v>-43435</v>
      </c>
      <c r="N258" s="229">
        <f t="shared" si="6"/>
        <v>8744140</v>
      </c>
      <c r="O258" s="235">
        <f t="shared" si="7"/>
        <v>507533</v>
      </c>
    </row>
    <row r="259" spans="1:15" ht="13.8" x14ac:dyDescent="0.25">
      <c r="A259" s="226">
        <v>38600</v>
      </c>
      <c r="B259" s="227" t="s">
        <v>432</v>
      </c>
      <c r="C259" s="231">
        <v>39640540</v>
      </c>
      <c r="D259" s="231">
        <v>3572301</v>
      </c>
      <c r="E259" s="231">
        <v>6536537</v>
      </c>
      <c r="F259" s="231"/>
      <c r="G259" s="230">
        <v>511603</v>
      </c>
      <c r="H259" s="231">
        <v>117183</v>
      </c>
      <c r="K259" s="230">
        <v>1042396</v>
      </c>
      <c r="L259" s="231">
        <v>10950803</v>
      </c>
      <c r="M259" s="230">
        <v>-341731</v>
      </c>
      <c r="N259" s="229">
        <f t="shared" si="6"/>
        <v>10609072</v>
      </c>
      <c r="O259" s="235">
        <f t="shared" si="7"/>
        <v>1159579</v>
      </c>
    </row>
    <row r="260" spans="1:15" ht="13.8" x14ac:dyDescent="0.25">
      <c r="A260" s="226">
        <v>38601</v>
      </c>
      <c r="B260" s="227" t="s">
        <v>505</v>
      </c>
      <c r="C260" s="230">
        <v>0</v>
      </c>
      <c r="D260" s="230">
        <v>0</v>
      </c>
      <c r="E260" s="230">
        <v>0</v>
      </c>
      <c r="F260" s="230"/>
      <c r="G260" s="230">
        <v>281871</v>
      </c>
      <c r="H260" s="230" t="s">
        <v>575</v>
      </c>
      <c r="K260" s="230">
        <v>84425</v>
      </c>
      <c r="L260" s="230">
        <v>0</v>
      </c>
      <c r="M260" s="230">
        <v>51198</v>
      </c>
      <c r="N260" s="229">
        <f t="shared" si="6"/>
        <v>51198</v>
      </c>
      <c r="O260" s="235">
        <f t="shared" si="7"/>
        <v>84425</v>
      </c>
    </row>
    <row r="261" spans="1:15" ht="13.8" x14ac:dyDescent="0.25">
      <c r="A261" s="226">
        <v>38602</v>
      </c>
      <c r="B261" s="227" t="s">
        <v>433</v>
      </c>
      <c r="C261" s="230">
        <v>2912959</v>
      </c>
      <c r="D261" s="230">
        <v>262508</v>
      </c>
      <c r="E261" s="230">
        <v>480333</v>
      </c>
      <c r="F261" s="230"/>
      <c r="G261" s="230">
        <v>0</v>
      </c>
      <c r="H261" s="230">
        <v>8611</v>
      </c>
      <c r="K261" s="230">
        <v>313123</v>
      </c>
      <c r="L261" s="230">
        <v>804713</v>
      </c>
      <c r="M261" s="230">
        <v>-173940</v>
      </c>
      <c r="N261" s="229">
        <f t="shared" ref="N261:N296" si="8">L261+M261</f>
        <v>630773</v>
      </c>
      <c r="O261" s="235">
        <f t="shared" ref="O261:O304" si="9">SUM(H261:K261)</f>
        <v>321734</v>
      </c>
    </row>
    <row r="262" spans="1:15" ht="13.8" x14ac:dyDescent="0.25">
      <c r="A262" s="191">
        <v>38605</v>
      </c>
      <c r="B262" s="192" t="s">
        <v>228</v>
      </c>
      <c r="C262" s="229">
        <v>10968787</v>
      </c>
      <c r="D262" s="229">
        <v>988478</v>
      </c>
      <c r="E262" s="229">
        <v>1808701</v>
      </c>
      <c r="F262" s="229"/>
      <c r="G262" s="229">
        <v>173479</v>
      </c>
      <c r="H262" s="229">
        <v>32425</v>
      </c>
      <c r="K262" s="229">
        <v>190011</v>
      </c>
      <c r="L262" s="229">
        <v>3030156</v>
      </c>
      <c r="M262" s="229">
        <v>64489</v>
      </c>
      <c r="N262" s="229">
        <f t="shared" si="8"/>
        <v>3094645</v>
      </c>
      <c r="O262" s="235">
        <f t="shared" si="9"/>
        <v>222436</v>
      </c>
    </row>
    <row r="263" spans="1:15" ht="13.8" x14ac:dyDescent="0.25">
      <c r="A263" s="191">
        <v>38610</v>
      </c>
      <c r="B263" s="192" t="s">
        <v>434</v>
      </c>
      <c r="C263" s="229">
        <v>10423533</v>
      </c>
      <c r="D263" s="229">
        <v>939341</v>
      </c>
      <c r="E263" s="229">
        <v>1718791</v>
      </c>
      <c r="F263" s="229"/>
      <c r="G263" s="229">
        <v>228119</v>
      </c>
      <c r="H263" s="229">
        <v>30813</v>
      </c>
      <c r="K263" s="229">
        <v>208003</v>
      </c>
      <c r="L263" s="229">
        <v>2879528</v>
      </c>
      <c r="M263" s="229">
        <v>-6047</v>
      </c>
      <c r="N263" s="229">
        <f t="shared" si="8"/>
        <v>2873481</v>
      </c>
      <c r="O263" s="235">
        <f t="shared" si="9"/>
        <v>238816</v>
      </c>
    </row>
    <row r="264" spans="1:15" ht="13.8" x14ac:dyDescent="0.25">
      <c r="A264" s="191">
        <v>38620</v>
      </c>
      <c r="B264" s="192" t="s">
        <v>435</v>
      </c>
      <c r="C264" s="229">
        <v>7072000</v>
      </c>
      <c r="D264" s="229">
        <v>637310</v>
      </c>
      <c r="E264" s="229">
        <v>1166139</v>
      </c>
      <c r="F264" s="229"/>
      <c r="G264" s="229">
        <v>251737</v>
      </c>
      <c r="H264" s="229">
        <v>20906</v>
      </c>
      <c r="K264" s="229">
        <v>250903</v>
      </c>
      <c r="L264" s="229">
        <v>1953659</v>
      </c>
      <c r="M264" s="229">
        <v>92682</v>
      </c>
      <c r="N264" s="229">
        <f t="shared" si="8"/>
        <v>2046341</v>
      </c>
      <c r="O264" s="235">
        <f t="shared" si="9"/>
        <v>271809</v>
      </c>
    </row>
    <row r="265" spans="1:15" ht="13.8" x14ac:dyDescent="0.25">
      <c r="A265" s="191">
        <v>38700</v>
      </c>
      <c r="B265" s="192" t="s">
        <v>436</v>
      </c>
      <c r="C265" s="229">
        <v>12749751</v>
      </c>
      <c r="D265" s="229">
        <v>1148974</v>
      </c>
      <c r="E265" s="229">
        <v>2102374</v>
      </c>
      <c r="F265" s="229"/>
      <c r="G265" s="229">
        <v>198693</v>
      </c>
      <c r="H265" s="229">
        <v>37690</v>
      </c>
      <c r="K265" s="229">
        <v>505699</v>
      </c>
      <c r="L265" s="229">
        <v>3522152</v>
      </c>
      <c r="M265" s="229">
        <v>-212858</v>
      </c>
      <c r="N265" s="229">
        <f t="shared" si="8"/>
        <v>3309294</v>
      </c>
      <c r="O265" s="235">
        <f t="shared" si="9"/>
        <v>543389</v>
      </c>
    </row>
    <row r="266" spans="1:15" ht="13.8" x14ac:dyDescent="0.25">
      <c r="A266" s="191">
        <v>38701</v>
      </c>
      <c r="B266" s="192" t="s">
        <v>506</v>
      </c>
      <c r="C266" s="229">
        <v>1177926</v>
      </c>
      <c r="D266" s="229">
        <v>106152</v>
      </c>
      <c r="E266" s="229">
        <v>194234</v>
      </c>
      <c r="F266" s="229"/>
      <c r="G266" s="229">
        <v>47906</v>
      </c>
      <c r="H266" s="229">
        <v>3482</v>
      </c>
      <c r="K266" s="229">
        <v>9934</v>
      </c>
      <c r="L266" s="229">
        <v>325405</v>
      </c>
      <c r="M266" s="229">
        <v>25112</v>
      </c>
      <c r="N266" s="229">
        <f t="shared" si="8"/>
        <v>350517</v>
      </c>
      <c r="O266" s="235">
        <f t="shared" si="9"/>
        <v>13416</v>
      </c>
    </row>
    <row r="267" spans="1:15" ht="13.8" x14ac:dyDescent="0.25">
      <c r="A267" s="191">
        <v>38800</v>
      </c>
      <c r="B267" s="192" t="s">
        <v>438</v>
      </c>
      <c r="C267" s="229">
        <v>22382074</v>
      </c>
      <c r="D267" s="229">
        <v>2017014</v>
      </c>
      <c r="E267" s="229">
        <v>3690698</v>
      </c>
      <c r="F267" s="229"/>
      <c r="G267" s="229">
        <v>267539</v>
      </c>
      <c r="H267" s="229">
        <v>66164</v>
      </c>
      <c r="K267" s="229">
        <v>821689</v>
      </c>
      <c r="L267" s="229">
        <v>6183106</v>
      </c>
      <c r="M267" s="229">
        <v>-248377</v>
      </c>
      <c r="N267" s="229">
        <f t="shared" si="8"/>
        <v>5934729</v>
      </c>
      <c r="O267" s="235">
        <f t="shared" si="9"/>
        <v>887853</v>
      </c>
    </row>
    <row r="268" spans="1:15" ht="13.8" x14ac:dyDescent="0.25">
      <c r="A268" s="226">
        <v>38801</v>
      </c>
      <c r="B268" s="227" t="s">
        <v>439</v>
      </c>
      <c r="C268" s="230">
        <v>2324737</v>
      </c>
      <c r="D268" s="230">
        <v>209499</v>
      </c>
      <c r="E268" s="230">
        <v>383338</v>
      </c>
      <c r="F268" s="230"/>
      <c r="G268" s="230">
        <v>66930</v>
      </c>
      <c r="H268" s="230">
        <v>6872</v>
      </c>
      <c r="K268" s="230">
        <v>160152</v>
      </c>
      <c r="L268" s="230">
        <v>642215</v>
      </c>
      <c r="M268" s="230">
        <v>-44551</v>
      </c>
      <c r="N268" s="229">
        <f t="shared" si="8"/>
        <v>597664</v>
      </c>
      <c r="O268" s="235">
        <f t="shared" si="9"/>
        <v>167024</v>
      </c>
    </row>
    <row r="269" spans="1:15" ht="13.8" x14ac:dyDescent="0.25">
      <c r="A269" s="226">
        <v>38900</v>
      </c>
      <c r="B269" s="227" t="s">
        <v>440</v>
      </c>
      <c r="C269" s="230">
        <v>4404998</v>
      </c>
      <c r="D269" s="230">
        <v>396967</v>
      </c>
      <c r="E269" s="230">
        <v>726363</v>
      </c>
      <c r="F269" s="230"/>
      <c r="G269" s="230">
        <v>17604</v>
      </c>
      <c r="H269" s="230">
        <v>13022</v>
      </c>
      <c r="K269" s="230">
        <v>279125</v>
      </c>
      <c r="L269" s="230">
        <v>1216892</v>
      </c>
      <c r="M269" s="230">
        <v>-115663</v>
      </c>
      <c r="N269" s="229">
        <f t="shared" si="8"/>
        <v>1101229</v>
      </c>
      <c r="O269" s="235">
        <f t="shared" si="9"/>
        <v>292147</v>
      </c>
    </row>
    <row r="270" spans="1:15" ht="13.8" x14ac:dyDescent="0.25">
      <c r="A270" s="226">
        <v>39000</v>
      </c>
      <c r="B270" s="227" t="s">
        <v>441</v>
      </c>
      <c r="C270" s="230">
        <v>217440676</v>
      </c>
      <c r="D270" s="230">
        <v>19595181</v>
      </c>
      <c r="E270" s="230">
        <v>35854937</v>
      </c>
      <c r="F270" s="230"/>
      <c r="G270" s="230">
        <v>1171267</v>
      </c>
      <c r="H270" s="230">
        <v>642783</v>
      </c>
      <c r="K270" s="230">
        <v>6817949</v>
      </c>
      <c r="L270" s="230">
        <v>60068555</v>
      </c>
      <c r="M270" s="230">
        <v>-5573220</v>
      </c>
      <c r="N270" s="229">
        <f t="shared" si="8"/>
        <v>54495335</v>
      </c>
      <c r="O270" s="235">
        <f t="shared" si="9"/>
        <v>7460732</v>
      </c>
    </row>
    <row r="271" spans="1:15" ht="13.8" x14ac:dyDescent="0.25">
      <c r="A271" s="226">
        <v>39100</v>
      </c>
      <c r="B271" s="227" t="s">
        <v>442</v>
      </c>
      <c r="C271" s="230">
        <v>27450859</v>
      </c>
      <c r="D271" s="230">
        <v>2473799</v>
      </c>
      <c r="E271" s="230">
        <v>4526517</v>
      </c>
      <c r="F271" s="230"/>
      <c r="G271" s="230">
        <v>1037632</v>
      </c>
      <c r="H271" s="230">
        <v>81148</v>
      </c>
      <c r="K271" s="230">
        <v>0</v>
      </c>
      <c r="L271" s="230">
        <v>7583372</v>
      </c>
      <c r="M271" s="230">
        <v>165874</v>
      </c>
      <c r="N271" s="229">
        <f t="shared" si="8"/>
        <v>7749246</v>
      </c>
      <c r="O271" s="235">
        <f t="shared" si="9"/>
        <v>81148</v>
      </c>
    </row>
    <row r="272" spans="1:15" ht="13.8" x14ac:dyDescent="0.25">
      <c r="A272" s="226">
        <v>39101</v>
      </c>
      <c r="B272" s="227" t="s">
        <v>443</v>
      </c>
      <c r="C272" s="230">
        <v>4096811</v>
      </c>
      <c r="D272" s="230">
        <v>369194</v>
      </c>
      <c r="E272" s="230">
        <v>675545</v>
      </c>
      <c r="F272" s="230"/>
      <c r="G272" s="230">
        <v>8491</v>
      </c>
      <c r="H272" s="230">
        <v>12111</v>
      </c>
      <c r="K272" s="230">
        <v>41314</v>
      </c>
      <c r="L272" s="230">
        <v>1131755</v>
      </c>
      <c r="M272" s="230">
        <v>-7396</v>
      </c>
      <c r="N272" s="229">
        <f t="shared" si="8"/>
        <v>1124359</v>
      </c>
      <c r="O272" s="235">
        <f t="shared" si="9"/>
        <v>53425</v>
      </c>
    </row>
    <row r="273" spans="1:15" ht="13.8" x14ac:dyDescent="0.25">
      <c r="A273" s="226">
        <v>39105</v>
      </c>
      <c r="B273" s="228" t="s">
        <v>230</v>
      </c>
      <c r="C273" s="230">
        <v>10897667</v>
      </c>
      <c r="D273" s="230">
        <v>982069</v>
      </c>
      <c r="E273" s="230">
        <v>1796974</v>
      </c>
      <c r="F273" s="230"/>
      <c r="G273" s="230">
        <v>640989</v>
      </c>
      <c r="H273" s="230">
        <v>32215</v>
      </c>
      <c r="K273" s="230">
        <v>151249</v>
      </c>
      <c r="L273" s="230">
        <v>3010509</v>
      </c>
      <c r="M273" s="230">
        <v>169944</v>
      </c>
      <c r="N273" s="229">
        <f t="shared" si="8"/>
        <v>3180453</v>
      </c>
      <c r="O273" s="235">
        <f t="shared" si="9"/>
        <v>183464</v>
      </c>
    </row>
    <row r="274" spans="1:15" ht="13.8" x14ac:dyDescent="0.25">
      <c r="A274" s="191">
        <v>39200</v>
      </c>
      <c r="B274" s="192" t="s">
        <v>444</v>
      </c>
      <c r="C274" s="229">
        <v>996297135</v>
      </c>
      <c r="D274" s="229">
        <v>89783674</v>
      </c>
      <c r="E274" s="229">
        <v>164284677</v>
      </c>
      <c r="F274" s="229"/>
      <c r="G274" s="229">
        <v>0</v>
      </c>
      <c r="H274" s="229">
        <v>2945182</v>
      </c>
      <c r="K274" s="229">
        <v>11033620</v>
      </c>
      <c r="L274" s="229">
        <v>275229686</v>
      </c>
      <c r="M274" s="229">
        <v>-10738298</v>
      </c>
      <c r="N274" s="229">
        <f t="shared" si="8"/>
        <v>264491388</v>
      </c>
      <c r="O274" s="235">
        <f t="shared" si="9"/>
        <v>13978802</v>
      </c>
    </row>
    <row r="275" spans="1:15" ht="13.8" x14ac:dyDescent="0.25">
      <c r="A275" s="191">
        <v>39201</v>
      </c>
      <c r="B275" s="192" t="s">
        <v>445</v>
      </c>
      <c r="C275" s="229">
        <v>4210900</v>
      </c>
      <c r="D275" s="229">
        <v>379475</v>
      </c>
      <c r="E275" s="229">
        <v>694357</v>
      </c>
      <c r="F275" s="229"/>
      <c r="G275" s="229">
        <v>193252</v>
      </c>
      <c r="H275" s="229">
        <v>12448</v>
      </c>
      <c r="K275" s="229">
        <v>207048</v>
      </c>
      <c r="L275" s="229">
        <v>1163272</v>
      </c>
      <c r="M275" s="229">
        <v>53121</v>
      </c>
      <c r="N275" s="229">
        <f t="shared" si="8"/>
        <v>1216393</v>
      </c>
      <c r="O275" s="235">
        <f t="shared" si="9"/>
        <v>219496</v>
      </c>
    </row>
    <row r="276" spans="1:15" ht="13.8" x14ac:dyDescent="0.25">
      <c r="A276" s="191">
        <v>39204</v>
      </c>
      <c r="B276" s="192" t="s">
        <v>446</v>
      </c>
      <c r="C276" s="229">
        <v>3241889</v>
      </c>
      <c r="D276" s="229">
        <v>292151</v>
      </c>
      <c r="E276" s="229">
        <v>534572</v>
      </c>
      <c r="F276" s="229"/>
      <c r="G276" s="229">
        <v>78024</v>
      </c>
      <c r="H276" s="229">
        <v>9583</v>
      </c>
      <c r="K276" s="229">
        <v>720112</v>
      </c>
      <c r="L276" s="229">
        <v>895580</v>
      </c>
      <c r="M276" s="229">
        <v>-455168</v>
      </c>
      <c r="N276" s="229">
        <f t="shared" si="8"/>
        <v>440412</v>
      </c>
      <c r="O276" s="235">
        <f t="shared" si="9"/>
        <v>729695</v>
      </c>
    </row>
    <row r="277" spans="1:15" ht="13.8" x14ac:dyDescent="0.25">
      <c r="A277" s="191">
        <v>39205</v>
      </c>
      <c r="B277" s="192" t="s">
        <v>231</v>
      </c>
      <c r="C277" s="229">
        <v>87603609</v>
      </c>
      <c r="D277" s="229">
        <v>7894607</v>
      </c>
      <c r="E277" s="229">
        <v>14445420</v>
      </c>
      <c r="F277" s="229"/>
      <c r="G277" s="229">
        <v>1530734</v>
      </c>
      <c r="H277" s="229">
        <v>258968</v>
      </c>
      <c r="K277" s="229">
        <v>296778</v>
      </c>
      <c r="L277" s="229">
        <v>24200726</v>
      </c>
      <c r="M277" s="229">
        <v>878490</v>
      </c>
      <c r="N277" s="229">
        <f t="shared" si="8"/>
        <v>25079216</v>
      </c>
      <c r="O277" s="235">
        <f t="shared" si="9"/>
        <v>555746</v>
      </c>
    </row>
    <row r="278" spans="1:15" ht="13.8" x14ac:dyDescent="0.25">
      <c r="A278" s="191">
        <v>39208</v>
      </c>
      <c r="B278" s="192" t="s">
        <v>447</v>
      </c>
      <c r="C278" s="229">
        <v>6220041</v>
      </c>
      <c r="D278" s="229">
        <v>560534</v>
      </c>
      <c r="E278" s="229">
        <v>1025655</v>
      </c>
      <c r="F278" s="229"/>
      <c r="G278" s="229">
        <v>0</v>
      </c>
      <c r="H278" s="229">
        <v>18387</v>
      </c>
      <c r="K278" s="229">
        <v>163709</v>
      </c>
      <c r="L278" s="229">
        <v>1718303</v>
      </c>
      <c r="M278" s="229">
        <v>-181374</v>
      </c>
      <c r="N278" s="229">
        <f t="shared" si="8"/>
        <v>1536929</v>
      </c>
      <c r="O278" s="235">
        <f t="shared" si="9"/>
        <v>182096</v>
      </c>
    </row>
    <row r="279" spans="1:15" ht="13.8" x14ac:dyDescent="0.25">
      <c r="A279" s="191">
        <v>39209</v>
      </c>
      <c r="B279" s="192" t="s">
        <v>448</v>
      </c>
      <c r="C279" s="229">
        <v>0</v>
      </c>
      <c r="D279" s="229">
        <v>0</v>
      </c>
      <c r="E279" s="229">
        <v>0</v>
      </c>
      <c r="F279" s="229"/>
      <c r="G279" s="229">
        <v>312569</v>
      </c>
      <c r="H279" s="229" t="s">
        <v>575</v>
      </c>
      <c r="K279" s="229">
        <v>0</v>
      </c>
      <c r="L279" s="229">
        <v>0</v>
      </c>
      <c r="M279" s="229">
        <v>326656</v>
      </c>
      <c r="N279" s="229">
        <f t="shared" si="8"/>
        <v>326656</v>
      </c>
      <c r="O279" s="235">
        <f t="shared" si="9"/>
        <v>0</v>
      </c>
    </row>
    <row r="280" spans="1:15" ht="13.8" x14ac:dyDescent="0.25">
      <c r="A280" s="226">
        <v>39220</v>
      </c>
      <c r="B280" s="227" t="s">
        <v>449</v>
      </c>
      <c r="C280" s="230">
        <v>0</v>
      </c>
      <c r="D280" s="230">
        <v>0</v>
      </c>
      <c r="E280" s="230">
        <v>0</v>
      </c>
      <c r="F280" s="230"/>
      <c r="G280" s="230">
        <v>24192</v>
      </c>
      <c r="H280" s="230" t="s">
        <v>575</v>
      </c>
      <c r="K280" s="230">
        <v>358046</v>
      </c>
      <c r="L280" s="230">
        <v>0</v>
      </c>
      <c r="M280" s="230">
        <v>-163541</v>
      </c>
      <c r="N280" s="229">
        <f t="shared" si="8"/>
        <v>-163541</v>
      </c>
      <c r="O280" s="235">
        <f t="shared" si="9"/>
        <v>358046</v>
      </c>
    </row>
    <row r="281" spans="1:15" ht="13.8" x14ac:dyDescent="0.25">
      <c r="A281" s="226">
        <v>39300</v>
      </c>
      <c r="B281" s="227" t="s">
        <v>450</v>
      </c>
      <c r="C281" s="230">
        <v>11614794</v>
      </c>
      <c r="D281" s="230">
        <v>1046695</v>
      </c>
      <c r="E281" s="230">
        <v>1915224</v>
      </c>
      <c r="F281" s="230"/>
      <c r="G281" s="230">
        <v>774422</v>
      </c>
      <c r="H281" s="230">
        <v>34335</v>
      </c>
      <c r="K281" s="230">
        <v>0</v>
      </c>
      <c r="L281" s="230">
        <v>3208617</v>
      </c>
      <c r="M281" s="230">
        <v>373029</v>
      </c>
      <c r="N281" s="229">
        <f t="shared" si="8"/>
        <v>3581646</v>
      </c>
      <c r="O281" s="235">
        <f t="shared" si="9"/>
        <v>34335</v>
      </c>
    </row>
    <row r="282" spans="1:15" ht="13.8" x14ac:dyDescent="0.25">
      <c r="A282" s="226">
        <v>39301</v>
      </c>
      <c r="B282" s="227" t="s">
        <v>451</v>
      </c>
      <c r="C282" s="230">
        <v>856404</v>
      </c>
      <c r="D282" s="230">
        <v>77177</v>
      </c>
      <c r="E282" s="230">
        <v>141217</v>
      </c>
      <c r="F282" s="230"/>
      <c r="G282" s="230">
        <v>82823</v>
      </c>
      <c r="H282" s="230">
        <v>2532</v>
      </c>
      <c r="K282" s="230">
        <v>48526</v>
      </c>
      <c r="L282" s="230">
        <v>236584</v>
      </c>
      <c r="M282" s="230">
        <v>49736</v>
      </c>
      <c r="N282" s="229">
        <f t="shared" si="8"/>
        <v>286320</v>
      </c>
      <c r="O282" s="235">
        <f t="shared" si="9"/>
        <v>51058</v>
      </c>
    </row>
    <row r="283" spans="1:15" ht="13.8" x14ac:dyDescent="0.25">
      <c r="A283" s="226">
        <v>39400</v>
      </c>
      <c r="B283" s="227" t="s">
        <v>452</v>
      </c>
      <c r="C283" s="230">
        <v>6670468</v>
      </c>
      <c r="D283" s="230">
        <v>601125</v>
      </c>
      <c r="E283" s="230">
        <v>1099929</v>
      </c>
      <c r="F283" s="230"/>
      <c r="G283" s="230">
        <v>277647</v>
      </c>
      <c r="H283" s="230">
        <v>19719</v>
      </c>
      <c r="K283" s="230">
        <v>18652</v>
      </c>
      <c r="L283" s="230">
        <v>1842734</v>
      </c>
      <c r="M283" s="230">
        <v>61075</v>
      </c>
      <c r="N283" s="229">
        <f t="shared" si="8"/>
        <v>1903809</v>
      </c>
      <c r="O283" s="235">
        <f t="shared" si="9"/>
        <v>38371</v>
      </c>
    </row>
    <row r="284" spans="1:15" ht="13.8" x14ac:dyDescent="0.25">
      <c r="A284" s="226">
        <v>39401</v>
      </c>
      <c r="B284" s="227" t="s">
        <v>453</v>
      </c>
      <c r="C284" s="230">
        <v>8412910</v>
      </c>
      <c r="D284" s="230">
        <v>758149</v>
      </c>
      <c r="E284" s="230">
        <v>1387249</v>
      </c>
      <c r="F284" s="230"/>
      <c r="G284" s="230">
        <v>146080</v>
      </c>
      <c r="H284" s="230">
        <v>24870</v>
      </c>
      <c r="K284" s="230">
        <v>204396</v>
      </c>
      <c r="L284" s="230">
        <v>2324088</v>
      </c>
      <c r="M284" s="230">
        <v>-84082</v>
      </c>
      <c r="N284" s="229">
        <f t="shared" si="8"/>
        <v>2240006</v>
      </c>
      <c r="O284" s="235">
        <f t="shared" si="9"/>
        <v>229266</v>
      </c>
    </row>
    <row r="285" spans="1:15" ht="13.8" x14ac:dyDescent="0.25">
      <c r="A285" s="226">
        <v>39500</v>
      </c>
      <c r="B285" s="228" t="s">
        <v>454</v>
      </c>
      <c r="C285" s="230">
        <v>32390740</v>
      </c>
      <c r="D285" s="230">
        <v>2918968</v>
      </c>
      <c r="E285" s="230">
        <v>5341080</v>
      </c>
      <c r="F285" s="230"/>
      <c r="G285" s="230">
        <v>531670</v>
      </c>
      <c r="H285" s="230">
        <v>95751</v>
      </c>
      <c r="K285" s="230">
        <v>1374440</v>
      </c>
      <c r="L285" s="230">
        <v>8948026</v>
      </c>
      <c r="M285" s="230">
        <v>-275412</v>
      </c>
      <c r="N285" s="229">
        <f t="shared" si="8"/>
        <v>8672614</v>
      </c>
      <c r="O285" s="235">
        <f t="shared" si="9"/>
        <v>1470191</v>
      </c>
    </row>
    <row r="286" spans="1:15" ht="13.8" x14ac:dyDescent="0.25">
      <c r="A286" s="191">
        <v>39501</v>
      </c>
      <c r="B286" s="192" t="s">
        <v>507</v>
      </c>
      <c r="C286" s="229">
        <v>748242</v>
      </c>
      <c r="D286" s="229">
        <v>67430</v>
      </c>
      <c r="E286" s="229">
        <v>123382</v>
      </c>
      <c r="F286" s="229"/>
      <c r="G286" s="229">
        <v>9509</v>
      </c>
      <c r="H286" s="229">
        <v>2212</v>
      </c>
      <c r="K286" s="229">
        <v>72038</v>
      </c>
      <c r="L286" s="229">
        <v>206704</v>
      </c>
      <c r="M286" s="229">
        <v>-37252</v>
      </c>
      <c r="N286" s="229">
        <f t="shared" si="8"/>
        <v>169452</v>
      </c>
      <c r="O286" s="235">
        <f t="shared" si="9"/>
        <v>74250</v>
      </c>
    </row>
    <row r="287" spans="1:15" ht="13.8" x14ac:dyDescent="0.25">
      <c r="A287" s="191">
        <v>39600</v>
      </c>
      <c r="B287" s="192" t="s">
        <v>456</v>
      </c>
      <c r="C287" s="229">
        <v>83694969</v>
      </c>
      <c r="D287" s="229">
        <v>7542370</v>
      </c>
      <c r="E287" s="229">
        <v>13800904</v>
      </c>
      <c r="F287" s="229"/>
      <c r="G287" s="229">
        <v>519968</v>
      </c>
      <c r="H287" s="229">
        <v>247413</v>
      </c>
      <c r="K287" s="229">
        <v>1298121</v>
      </c>
      <c r="L287" s="229">
        <v>23120954</v>
      </c>
      <c r="M287" s="229">
        <v>-1685354</v>
      </c>
      <c r="N287" s="229">
        <f t="shared" si="8"/>
        <v>21435600</v>
      </c>
      <c r="O287" s="235">
        <f t="shared" si="9"/>
        <v>1545534</v>
      </c>
    </row>
    <row r="288" spans="1:15" ht="13.8" x14ac:dyDescent="0.25">
      <c r="A288" s="191">
        <v>39605</v>
      </c>
      <c r="B288" s="192" t="s">
        <v>232</v>
      </c>
      <c r="C288" s="229">
        <v>11960022</v>
      </c>
      <c r="D288" s="229">
        <v>1077806</v>
      </c>
      <c r="E288" s="229">
        <v>1972151</v>
      </c>
      <c r="F288" s="229"/>
      <c r="G288" s="229">
        <v>0</v>
      </c>
      <c r="H288" s="229">
        <v>35355</v>
      </c>
      <c r="K288" s="229">
        <v>706995</v>
      </c>
      <c r="L288" s="229">
        <v>3303987</v>
      </c>
      <c r="M288" s="229">
        <v>-374639</v>
      </c>
      <c r="N288" s="229">
        <f t="shared" si="8"/>
        <v>2929348</v>
      </c>
      <c r="O288" s="235">
        <f t="shared" si="9"/>
        <v>742350</v>
      </c>
    </row>
    <row r="289" spans="1:15" ht="13.8" x14ac:dyDescent="0.25">
      <c r="A289" s="191">
        <v>39700</v>
      </c>
      <c r="B289" s="192" t="s">
        <v>457</v>
      </c>
      <c r="C289" s="229">
        <v>48868367</v>
      </c>
      <c r="D289" s="229">
        <v>4403889</v>
      </c>
      <c r="E289" s="229">
        <v>8058162</v>
      </c>
      <c r="F289" s="229"/>
      <c r="G289" s="229">
        <v>63932</v>
      </c>
      <c r="H289" s="229">
        <v>144461</v>
      </c>
      <c r="K289" s="229">
        <v>861514</v>
      </c>
      <c r="L289" s="229">
        <v>13500014</v>
      </c>
      <c r="M289" s="229">
        <v>-770369</v>
      </c>
      <c r="N289" s="229">
        <f t="shared" si="8"/>
        <v>12729645</v>
      </c>
      <c r="O289" s="235">
        <f t="shared" si="9"/>
        <v>1005975</v>
      </c>
    </row>
    <row r="290" spans="1:15" ht="13.8" x14ac:dyDescent="0.25">
      <c r="A290" s="191">
        <v>39703</v>
      </c>
      <c r="B290" s="192" t="s">
        <v>458</v>
      </c>
      <c r="C290" s="229">
        <v>3921975</v>
      </c>
      <c r="D290" s="229">
        <v>353438</v>
      </c>
      <c r="E290" s="229">
        <v>646715</v>
      </c>
      <c r="F290" s="229"/>
      <c r="G290" s="229">
        <v>33870</v>
      </c>
      <c r="H290" s="229">
        <v>11594</v>
      </c>
      <c r="K290" s="229">
        <v>108765</v>
      </c>
      <c r="L290" s="229">
        <v>1083456</v>
      </c>
      <c r="M290" s="229">
        <v>-57553</v>
      </c>
      <c r="N290" s="229">
        <f t="shared" si="8"/>
        <v>1025903</v>
      </c>
      <c r="O290" s="235">
        <f t="shared" si="9"/>
        <v>120359</v>
      </c>
    </row>
    <row r="291" spans="1:15" ht="13.8" x14ac:dyDescent="0.25">
      <c r="A291" s="191">
        <v>39705</v>
      </c>
      <c r="B291" s="192" t="s">
        <v>234</v>
      </c>
      <c r="C291" s="229">
        <v>12948295</v>
      </c>
      <c r="D291" s="229">
        <v>1166866</v>
      </c>
      <c r="E291" s="229">
        <v>2135112</v>
      </c>
      <c r="F291" s="229"/>
      <c r="G291" s="229">
        <v>58775</v>
      </c>
      <c r="H291" s="229">
        <v>38277</v>
      </c>
      <c r="K291" s="229">
        <v>134324</v>
      </c>
      <c r="L291" s="229">
        <v>3577000</v>
      </c>
      <c r="M291" s="229">
        <v>-41415</v>
      </c>
      <c r="N291" s="229">
        <f t="shared" si="8"/>
        <v>3535585</v>
      </c>
      <c r="O291" s="235">
        <f t="shared" si="9"/>
        <v>172601</v>
      </c>
    </row>
    <row r="292" spans="1:15" ht="13.8" x14ac:dyDescent="0.25">
      <c r="A292" s="226">
        <v>39800</v>
      </c>
      <c r="B292" s="227" t="s">
        <v>459</v>
      </c>
      <c r="C292" s="230">
        <v>53393381</v>
      </c>
      <c r="D292" s="230">
        <v>4811671</v>
      </c>
      <c r="E292" s="230">
        <v>8804316</v>
      </c>
      <c r="F292" s="230"/>
      <c r="G292" s="230">
        <v>105729</v>
      </c>
      <c r="H292" s="230">
        <v>157838</v>
      </c>
      <c r="K292" s="230">
        <v>743727</v>
      </c>
      <c r="L292" s="230">
        <v>14750061</v>
      </c>
      <c r="M292" s="230">
        <v>-579898</v>
      </c>
      <c r="N292" s="229">
        <f t="shared" si="8"/>
        <v>14170163</v>
      </c>
      <c r="O292" s="235">
        <f t="shared" si="9"/>
        <v>901565</v>
      </c>
    </row>
    <row r="293" spans="1:15" ht="13.8" x14ac:dyDescent="0.25">
      <c r="A293" s="226">
        <v>39805</v>
      </c>
      <c r="B293" s="227" t="s">
        <v>235</v>
      </c>
      <c r="C293" s="230">
        <v>6735662</v>
      </c>
      <c r="D293" s="230">
        <v>607000</v>
      </c>
      <c r="E293" s="230">
        <v>1110679</v>
      </c>
      <c r="F293" s="230"/>
      <c r="G293" s="230">
        <v>203235</v>
      </c>
      <c r="H293" s="230">
        <v>19911</v>
      </c>
      <c r="K293" s="230">
        <v>8362</v>
      </c>
      <c r="L293" s="230">
        <v>1860744</v>
      </c>
      <c r="M293" s="230">
        <v>82359</v>
      </c>
      <c r="N293" s="229">
        <f t="shared" si="8"/>
        <v>1943103</v>
      </c>
      <c r="O293" s="235">
        <f t="shared" si="9"/>
        <v>28273</v>
      </c>
    </row>
    <row r="294" spans="1:15" ht="13.8" x14ac:dyDescent="0.25">
      <c r="A294" s="226">
        <v>39900</v>
      </c>
      <c r="B294" s="227" t="s">
        <v>460</v>
      </c>
      <c r="C294" s="230">
        <v>29811156</v>
      </c>
      <c r="D294" s="230">
        <v>2686503</v>
      </c>
      <c r="E294" s="230">
        <v>4915718</v>
      </c>
      <c r="F294" s="230"/>
      <c r="G294" s="230">
        <v>581847</v>
      </c>
      <c r="H294" s="230">
        <v>88126</v>
      </c>
      <c r="K294" s="230">
        <v>53465</v>
      </c>
      <c r="L294" s="230">
        <v>8235410</v>
      </c>
      <c r="M294" s="230">
        <v>318035</v>
      </c>
      <c r="N294" s="229">
        <f t="shared" si="8"/>
        <v>8553445</v>
      </c>
      <c r="O294" s="235">
        <f t="shared" si="9"/>
        <v>141591</v>
      </c>
    </row>
    <row r="295" spans="1:15" ht="13.8" x14ac:dyDescent="0.25">
      <c r="A295" s="226">
        <v>51000</v>
      </c>
      <c r="B295" s="227" t="s">
        <v>532</v>
      </c>
      <c r="C295" s="230">
        <v>428719096</v>
      </c>
      <c r="D295" s="230">
        <v>38635036</v>
      </c>
      <c r="E295" s="230">
        <v>70693748</v>
      </c>
      <c r="F295" s="230"/>
      <c r="G295" s="230">
        <v>27086803</v>
      </c>
      <c r="H295" s="230">
        <v>1267349</v>
      </c>
      <c r="K295" s="230">
        <v>0</v>
      </c>
      <c r="L295" s="230">
        <v>118434770</v>
      </c>
      <c r="M295" s="230">
        <v>12627991</v>
      </c>
      <c r="N295" s="229">
        <f t="shared" si="8"/>
        <v>131062761</v>
      </c>
      <c r="O295" s="235">
        <f t="shared" si="9"/>
        <v>1267349</v>
      </c>
    </row>
    <row r="296" spans="1:15" ht="13.8" x14ac:dyDescent="0.25">
      <c r="A296" s="226">
        <v>51000.2</v>
      </c>
      <c r="B296" s="227" t="s">
        <v>533</v>
      </c>
      <c r="C296" s="232">
        <v>746761</v>
      </c>
      <c r="D296" s="232">
        <v>67296</v>
      </c>
      <c r="E296" s="232">
        <v>123137</v>
      </c>
      <c r="F296" s="232"/>
      <c r="G296" s="232">
        <v>207203</v>
      </c>
      <c r="H296" s="232">
        <v>2208</v>
      </c>
      <c r="I296" s="171"/>
      <c r="J296" s="158"/>
      <c r="K296" s="232">
        <v>0</v>
      </c>
      <c r="L296" s="232">
        <v>206295</v>
      </c>
      <c r="M296" s="232">
        <v>149473</v>
      </c>
      <c r="N296" s="229">
        <f t="shared" si="8"/>
        <v>355768</v>
      </c>
      <c r="O296" s="235">
        <f t="shared" si="9"/>
        <v>2208</v>
      </c>
    </row>
    <row r="297" spans="1:15" ht="14.4" x14ac:dyDescent="0.3">
      <c r="A297" s="226">
        <v>51000.3</v>
      </c>
      <c r="B297" s="227" t="s">
        <v>534</v>
      </c>
      <c r="C297" s="172">
        <v>15781244</v>
      </c>
      <c r="D297" s="172">
        <v>1422164</v>
      </c>
      <c r="E297" s="172">
        <v>2602252</v>
      </c>
      <c r="F297" s="172"/>
      <c r="G297" s="172">
        <v>1046723</v>
      </c>
      <c r="H297" s="172">
        <v>46651</v>
      </c>
      <c r="I297" s="172"/>
      <c r="J297" s="158"/>
      <c r="K297" s="172">
        <v>0</v>
      </c>
      <c r="L297" s="172">
        <v>4359610</v>
      </c>
      <c r="M297" s="172">
        <v>632660</v>
      </c>
      <c r="N297" s="163">
        <f t="shared" ref="N297:N304" si="10">SUM(L297+M297)</f>
        <v>4992270</v>
      </c>
      <c r="O297" s="235">
        <f t="shared" si="9"/>
        <v>46651</v>
      </c>
    </row>
    <row r="298" spans="1:15" ht="14.4" x14ac:dyDescent="0.3">
      <c r="A298" s="182"/>
      <c r="B298" s="183"/>
      <c r="C298" s="184"/>
      <c r="D298" s="184"/>
      <c r="E298" s="184"/>
      <c r="F298" s="184"/>
      <c r="G298" s="184"/>
      <c r="H298" s="184"/>
      <c r="I298" s="160"/>
      <c r="J298" s="161"/>
      <c r="K298" s="184"/>
      <c r="L298" s="184"/>
      <c r="M298" s="184"/>
      <c r="N298" s="164">
        <f t="shared" si="10"/>
        <v>0</v>
      </c>
      <c r="O298" s="235">
        <f t="shared" si="9"/>
        <v>0</v>
      </c>
    </row>
    <row r="299" spans="1:15" ht="14.4" x14ac:dyDescent="0.3">
      <c r="A299" s="182"/>
      <c r="B299" s="183"/>
      <c r="C299" s="184"/>
      <c r="D299" s="184"/>
      <c r="E299" s="184"/>
      <c r="F299" s="184"/>
      <c r="G299" s="184"/>
      <c r="H299" s="184"/>
      <c r="I299" s="160"/>
      <c r="J299" s="161"/>
      <c r="K299" s="184"/>
      <c r="L299" s="184"/>
      <c r="M299" s="184"/>
      <c r="N299" s="164">
        <f t="shared" si="10"/>
        <v>0</v>
      </c>
      <c r="O299" s="235">
        <f t="shared" si="9"/>
        <v>0</v>
      </c>
    </row>
    <row r="300" spans="1:15" ht="14.4" x14ac:dyDescent="0.3">
      <c r="A300" s="182"/>
      <c r="B300" s="183"/>
      <c r="C300" s="184"/>
      <c r="D300" s="184"/>
      <c r="E300" s="184"/>
      <c r="F300" s="184"/>
      <c r="G300" s="184"/>
      <c r="H300" s="184"/>
      <c r="I300" s="160"/>
      <c r="J300" s="161"/>
      <c r="K300" s="184"/>
      <c r="L300" s="184"/>
      <c r="M300" s="184"/>
      <c r="N300" s="164">
        <f t="shared" si="10"/>
        <v>0</v>
      </c>
      <c r="O300" s="235">
        <f t="shared" si="9"/>
        <v>0</v>
      </c>
    </row>
    <row r="301" spans="1:15" ht="14.4" x14ac:dyDescent="0.3">
      <c r="A301" s="182"/>
      <c r="B301" s="183"/>
      <c r="C301" s="185"/>
      <c r="D301" s="185"/>
      <c r="E301" s="185"/>
      <c r="F301" s="185"/>
      <c r="G301" s="185"/>
      <c r="H301" s="184"/>
      <c r="I301" s="161"/>
      <c r="J301" s="161"/>
      <c r="K301" s="185"/>
      <c r="L301" s="185"/>
      <c r="M301" s="185"/>
      <c r="N301" s="164">
        <f t="shared" si="10"/>
        <v>0</v>
      </c>
      <c r="O301" s="235">
        <f t="shared" si="9"/>
        <v>0</v>
      </c>
    </row>
    <row r="302" spans="1:15" ht="14.4" x14ac:dyDescent="0.3">
      <c r="A302" s="182"/>
      <c r="B302" s="183"/>
      <c r="C302" s="185"/>
      <c r="D302" s="185"/>
      <c r="E302" s="185"/>
      <c r="F302" s="185"/>
      <c r="G302" s="185"/>
      <c r="H302" s="185"/>
      <c r="I302" s="174"/>
      <c r="J302" s="161"/>
      <c r="K302" s="185"/>
      <c r="L302" s="185"/>
      <c r="M302" s="185"/>
      <c r="N302" s="164">
        <f t="shared" si="10"/>
        <v>0</v>
      </c>
      <c r="O302" s="235">
        <f t="shared" si="9"/>
        <v>0</v>
      </c>
    </row>
    <row r="303" spans="1:15" ht="14.4" x14ac:dyDescent="0.3">
      <c r="A303" s="201"/>
      <c r="B303" s="159"/>
      <c r="C303" s="171"/>
      <c r="D303" s="171"/>
      <c r="E303" s="171"/>
      <c r="F303" s="171"/>
      <c r="G303" s="171"/>
      <c r="H303" s="171"/>
      <c r="I303" s="174"/>
      <c r="J303" s="161">
        <v>0</v>
      </c>
      <c r="K303" s="171"/>
      <c r="L303" s="171"/>
      <c r="M303" s="171"/>
      <c r="N303" s="164">
        <f t="shared" si="10"/>
        <v>0</v>
      </c>
      <c r="O303" s="235">
        <f t="shared" si="9"/>
        <v>0</v>
      </c>
    </row>
    <row r="304" spans="1:15" ht="14.4" x14ac:dyDescent="0.3">
      <c r="A304" s="201"/>
      <c r="B304" s="159"/>
      <c r="C304" s="171"/>
      <c r="D304" s="172"/>
      <c r="E304" s="172"/>
      <c r="F304" s="172"/>
      <c r="G304" s="172"/>
      <c r="H304" s="172"/>
      <c r="I304" s="175"/>
      <c r="J304" s="173">
        <v>0</v>
      </c>
      <c r="K304" s="172"/>
      <c r="L304" s="172"/>
      <c r="M304" s="172"/>
      <c r="N304" s="164">
        <f t="shared" si="10"/>
        <v>0</v>
      </c>
      <c r="O304" s="235">
        <f t="shared" si="9"/>
        <v>0</v>
      </c>
    </row>
    <row r="305" spans="3:14" ht="13.8" thickBot="1" x14ac:dyDescent="0.3">
      <c r="C305" s="162">
        <f>SUM(C4:C304)</f>
        <v>14816678007</v>
      </c>
      <c r="D305" s="162">
        <f>SUM(D4:D304)</f>
        <v>1335240007</v>
      </c>
      <c r="E305" s="162">
        <f t="shared" ref="E305:N305" si="11">SUM(E4:E304)</f>
        <v>2443199997</v>
      </c>
      <c r="F305" s="162">
        <f t="shared" si="11"/>
        <v>0</v>
      </c>
      <c r="G305" s="162">
        <f t="shared" si="11"/>
        <v>456001230</v>
      </c>
      <c r="H305" s="162">
        <f t="shared" si="11"/>
        <v>43800013</v>
      </c>
      <c r="I305" s="162">
        <f t="shared" si="11"/>
        <v>0</v>
      </c>
      <c r="J305" s="162">
        <f t="shared" si="11"/>
        <v>0</v>
      </c>
      <c r="K305" s="162">
        <f t="shared" si="11"/>
        <v>456001230</v>
      </c>
      <c r="L305" s="162">
        <f t="shared" si="11"/>
        <v>4093146000</v>
      </c>
      <c r="M305" s="162">
        <f t="shared" si="11"/>
        <v>31</v>
      </c>
      <c r="N305" s="162">
        <f t="shared" si="11"/>
        <v>4093146031</v>
      </c>
    </row>
    <row r="306" spans="3:14" ht="13.8" thickTop="1" x14ac:dyDescent="0.25"/>
  </sheetData>
  <pageMargins left="0.7" right="0.7" top="0.75" bottom="0.75" header="0.3" footer="0.3"/>
  <pageSetup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305"/>
  <sheetViews>
    <sheetView workbookViewId="0">
      <pane ySplit="3" topLeftCell="A4" activePane="bottomLeft" state="frozen"/>
      <selection pane="bottomLeft" activeCell="O17" sqref="O17"/>
    </sheetView>
  </sheetViews>
  <sheetFormatPr defaultRowHeight="13.2" x14ac:dyDescent="0.25"/>
  <cols>
    <col min="1" max="1" width="9" bestFit="1" customWidth="1"/>
    <col min="2" max="2" width="61.44140625" bestFit="1" customWidth="1"/>
    <col min="3" max="4" width="19.33203125" bestFit="1" customWidth="1"/>
    <col min="5" max="7" width="19.33203125" customWidth="1"/>
    <col min="11" max="11" width="13" customWidth="1"/>
    <col min="12" max="12" width="12.44140625" bestFit="1" customWidth="1"/>
    <col min="13" max="13" width="11.44140625" bestFit="1" customWidth="1"/>
    <col min="14" max="14" width="12.44140625" bestFit="1" customWidth="1"/>
  </cols>
  <sheetData>
    <row r="1" spans="1:7" x14ac:dyDescent="0.25">
      <c r="A1" s="200">
        <v>1</v>
      </c>
      <c r="B1" s="200">
        <v>2</v>
      </c>
      <c r="C1" s="200">
        <v>3</v>
      </c>
      <c r="D1" s="200">
        <v>4</v>
      </c>
      <c r="E1" s="200">
        <v>5</v>
      </c>
      <c r="F1" s="200">
        <v>6</v>
      </c>
      <c r="G1" s="200">
        <v>7</v>
      </c>
    </row>
    <row r="2" spans="1:7" ht="14.4" x14ac:dyDescent="0.3">
      <c r="C2" s="46" t="s">
        <v>508</v>
      </c>
      <c r="D2" s="46" t="s">
        <v>509</v>
      </c>
      <c r="E2" s="46" t="s">
        <v>510</v>
      </c>
      <c r="F2" s="46" t="s">
        <v>567</v>
      </c>
      <c r="G2" s="46"/>
    </row>
    <row r="3" spans="1:7" ht="43.2" x14ac:dyDescent="0.3">
      <c r="A3" s="46" t="s">
        <v>245</v>
      </c>
      <c r="B3" s="46" t="s">
        <v>467</v>
      </c>
      <c r="C3" s="46" t="s">
        <v>511</v>
      </c>
      <c r="D3" s="46" t="s">
        <v>511</v>
      </c>
      <c r="E3" s="46" t="s">
        <v>511</v>
      </c>
      <c r="F3" s="46" t="s">
        <v>511</v>
      </c>
      <c r="G3" s="46" t="s">
        <v>511</v>
      </c>
    </row>
    <row r="4" spans="1:7" ht="14.4" x14ac:dyDescent="0.3">
      <c r="A4" s="240">
        <v>10200</v>
      </c>
      <c r="B4" s="241" t="s">
        <v>249</v>
      </c>
      <c r="C4" s="4">
        <v>1979725.4196765351</v>
      </c>
      <c r="D4" s="4">
        <v>4320216.9745526128</v>
      </c>
      <c r="E4" s="4">
        <v>-84745.063200000004</v>
      </c>
      <c r="F4" s="4">
        <v>-350760.01240000001</v>
      </c>
      <c r="G4" s="221">
        <v>0</v>
      </c>
    </row>
    <row r="5" spans="1:7" ht="14.4" x14ac:dyDescent="0.3">
      <c r="A5" s="240">
        <v>10400</v>
      </c>
      <c r="B5" s="241" t="s">
        <v>250</v>
      </c>
      <c r="C5" s="4">
        <v>3617844.3162581385</v>
      </c>
      <c r="D5" s="4">
        <v>9958726.2199407537</v>
      </c>
      <c r="E5" s="4">
        <v>-214326.91200000001</v>
      </c>
      <c r="F5" s="4">
        <v>-887099.58400000003</v>
      </c>
      <c r="G5" s="221">
        <v>0</v>
      </c>
    </row>
    <row r="6" spans="1:7" ht="14.4" x14ac:dyDescent="0.3">
      <c r="A6" s="240">
        <v>10500</v>
      </c>
      <c r="B6" s="241" t="s">
        <v>251</v>
      </c>
      <c r="C6" s="4">
        <v>763162.50892409857</v>
      </c>
      <c r="D6" s="4">
        <v>2102268.5652201041</v>
      </c>
      <c r="E6" s="4">
        <v>-48583.715400000001</v>
      </c>
      <c r="F6" s="4">
        <v>-201088.1103</v>
      </c>
      <c r="G6" s="221">
        <v>0</v>
      </c>
    </row>
    <row r="7" spans="1:7" ht="14.4" x14ac:dyDescent="0.3">
      <c r="A7" s="240">
        <v>10700</v>
      </c>
      <c r="B7" s="241" t="s">
        <v>512</v>
      </c>
      <c r="C7" s="4">
        <v>6571467.0645546466</v>
      </c>
      <c r="D7" s="4">
        <v>16292279.626335086</v>
      </c>
      <c r="E7" s="4">
        <v>-333919.05420000001</v>
      </c>
      <c r="F7" s="4">
        <v>-1382091.7368999999</v>
      </c>
      <c r="G7" s="221">
        <v>0</v>
      </c>
    </row>
    <row r="8" spans="1:7" ht="14.4" x14ac:dyDescent="0.3">
      <c r="A8" s="240">
        <v>10800</v>
      </c>
      <c r="B8" s="241" t="s">
        <v>253</v>
      </c>
      <c r="C8" s="4">
        <v>33499596.358359661</v>
      </c>
      <c r="D8" s="4">
        <v>74390235.495521128</v>
      </c>
      <c r="E8" s="4">
        <v>-1437184.5257999999</v>
      </c>
      <c r="F8" s="4">
        <v>-5948510.0730999997</v>
      </c>
      <c r="G8" s="221">
        <v>0</v>
      </c>
    </row>
    <row r="9" spans="1:7" ht="14.4" x14ac:dyDescent="0.3">
      <c r="A9" s="240">
        <v>10850</v>
      </c>
      <c r="B9" s="241" t="s">
        <v>254</v>
      </c>
      <c r="C9" s="4">
        <v>430609.99326468696</v>
      </c>
      <c r="D9" s="4">
        <v>799595.3328400295</v>
      </c>
      <c r="E9" s="4">
        <v>-12731.978999999999</v>
      </c>
      <c r="F9" s="4">
        <v>-52697.690499999997</v>
      </c>
      <c r="G9" s="221">
        <v>0</v>
      </c>
    </row>
    <row r="10" spans="1:7" ht="14.4" x14ac:dyDescent="0.3">
      <c r="A10" s="240">
        <v>10900</v>
      </c>
      <c r="B10" s="241" t="s">
        <v>255</v>
      </c>
      <c r="C10" s="4">
        <v>3290911.4445018712</v>
      </c>
      <c r="D10" s="4">
        <v>6602407.5688291751</v>
      </c>
      <c r="E10" s="4">
        <v>-119674.284</v>
      </c>
      <c r="F10" s="4">
        <v>-495332.13800000004</v>
      </c>
      <c r="G10" s="221">
        <v>0</v>
      </c>
    </row>
    <row r="11" spans="1:7" ht="14.4" x14ac:dyDescent="0.3">
      <c r="A11" s="240">
        <v>10910</v>
      </c>
      <c r="B11" s="241" t="s">
        <v>256</v>
      </c>
      <c r="C11" s="4">
        <v>1138512.1591427</v>
      </c>
      <c r="D11" s="4">
        <v>2135375.1195644019</v>
      </c>
      <c r="E11" s="4">
        <v>-40426.402800000003</v>
      </c>
      <c r="F11" s="4">
        <v>-167324.97460000002</v>
      </c>
      <c r="G11" s="221">
        <v>0</v>
      </c>
    </row>
    <row r="12" spans="1:7" ht="14.4" x14ac:dyDescent="0.3">
      <c r="A12" s="240">
        <v>10930</v>
      </c>
      <c r="B12" s="241" t="s">
        <v>257</v>
      </c>
      <c r="C12" s="4">
        <v>9625642.6885644458</v>
      </c>
      <c r="D12" s="4">
        <v>20356400.297047582</v>
      </c>
      <c r="E12" s="4">
        <v>-377485.80119999999</v>
      </c>
      <c r="F12" s="4">
        <v>-1562414.6033999999</v>
      </c>
      <c r="G12" s="221">
        <v>0</v>
      </c>
    </row>
    <row r="13" spans="1:7" ht="14.4" x14ac:dyDescent="0.3">
      <c r="A13" s="240">
        <v>10940</v>
      </c>
      <c r="B13" s="241" t="s">
        <v>258</v>
      </c>
      <c r="C13" s="4">
        <v>1590873.2393396115</v>
      </c>
      <c r="D13" s="4">
        <v>2951411.718471915</v>
      </c>
      <c r="E13" s="4">
        <v>-52981.461000000003</v>
      </c>
      <c r="F13" s="4">
        <v>-219290.38950000002</v>
      </c>
      <c r="G13" s="221">
        <v>0</v>
      </c>
    </row>
    <row r="14" spans="1:7" ht="14.4" x14ac:dyDescent="0.3">
      <c r="A14" s="240">
        <v>10950</v>
      </c>
      <c r="B14" s="241" t="s">
        <v>165</v>
      </c>
      <c r="C14" s="4">
        <v>2203384.5061937012</v>
      </c>
      <c r="D14" s="4">
        <v>3999208.6433320292</v>
      </c>
      <c r="E14" s="4">
        <v>-66440.078999999998</v>
      </c>
      <c r="F14" s="4">
        <v>-274995.64049999998</v>
      </c>
      <c r="G14" s="221">
        <v>0</v>
      </c>
    </row>
    <row r="15" spans="1:7" ht="14.4" x14ac:dyDescent="0.3">
      <c r="A15" s="240">
        <v>11000</v>
      </c>
      <c r="B15" s="241" t="s">
        <v>571</v>
      </c>
      <c r="C15" s="4">
        <v>440155.87000000005</v>
      </c>
      <c r="D15" s="4">
        <v>440155.87000000005</v>
      </c>
      <c r="E15" s="4">
        <v>0</v>
      </c>
      <c r="F15" s="4">
        <v>0</v>
      </c>
      <c r="G15" s="221">
        <v>0</v>
      </c>
    </row>
    <row r="16" spans="1:7" ht="14.4" x14ac:dyDescent="0.3">
      <c r="A16" s="240">
        <v>11050</v>
      </c>
      <c r="B16" s="241" t="s">
        <v>259</v>
      </c>
      <c r="C16" s="4">
        <v>510145.35819248832</v>
      </c>
      <c r="D16" s="4">
        <v>1079965.9834501159</v>
      </c>
      <c r="E16" s="4">
        <v>-18766.242000000002</v>
      </c>
      <c r="F16" s="4">
        <v>-77673.519</v>
      </c>
      <c r="G16" s="221">
        <v>0</v>
      </c>
    </row>
    <row r="17" spans="1:7" ht="14.4" x14ac:dyDescent="0.3">
      <c r="A17" s="240">
        <v>11300</v>
      </c>
      <c r="B17" s="241" t="s">
        <v>513</v>
      </c>
      <c r="C17" s="4">
        <v>9180618.1341658793</v>
      </c>
      <c r="D17" s="4">
        <v>18687862.1139502</v>
      </c>
      <c r="E17" s="4">
        <v>-337002.53099999996</v>
      </c>
      <c r="F17" s="4">
        <v>-1394854.2544999998</v>
      </c>
      <c r="G17" s="221">
        <v>0</v>
      </c>
    </row>
    <row r="18" spans="1:7" ht="14.4" x14ac:dyDescent="0.3">
      <c r="A18" s="240">
        <v>11310</v>
      </c>
      <c r="B18" s="241" t="s">
        <v>236</v>
      </c>
      <c r="C18" s="4">
        <v>848826.75894103863</v>
      </c>
      <c r="D18" s="4">
        <v>1914338.2675980222</v>
      </c>
      <c r="E18" s="4">
        <v>-37646.218799999995</v>
      </c>
      <c r="F18" s="4">
        <v>-155817.78659999999</v>
      </c>
      <c r="G18" s="221">
        <v>0</v>
      </c>
    </row>
    <row r="19" spans="1:7" ht="14.4" x14ac:dyDescent="0.3">
      <c r="A19" s="240">
        <v>11600</v>
      </c>
      <c r="B19" s="241" t="s">
        <v>261</v>
      </c>
      <c r="C19" s="4">
        <v>2457956.3571312721</v>
      </c>
      <c r="D19" s="4">
        <v>6892743.0757189076</v>
      </c>
      <c r="E19" s="4">
        <v>-154470.81420000002</v>
      </c>
      <c r="F19" s="4">
        <v>-639355.05690000008</v>
      </c>
      <c r="G19" s="221">
        <v>0</v>
      </c>
    </row>
    <row r="20" spans="1:7" ht="14.4" x14ac:dyDescent="0.3">
      <c r="A20" s="240">
        <v>11900</v>
      </c>
      <c r="B20" s="241" t="s">
        <v>262</v>
      </c>
      <c r="C20" s="4">
        <v>49672.860611602315</v>
      </c>
      <c r="D20" s="4">
        <v>581856.39499576285</v>
      </c>
      <c r="E20" s="4">
        <v>-20333.254800000002</v>
      </c>
      <c r="F20" s="4">
        <v>-84159.388600000006</v>
      </c>
      <c r="G20" s="221">
        <v>0</v>
      </c>
    </row>
    <row r="21" spans="1:7" ht="14.4" x14ac:dyDescent="0.3">
      <c r="A21" s="240">
        <v>12100</v>
      </c>
      <c r="B21" s="241" t="s">
        <v>263</v>
      </c>
      <c r="C21" s="4">
        <v>486463.24297002028</v>
      </c>
      <c r="D21" s="4">
        <v>1086781.3948258574</v>
      </c>
      <c r="E21" s="4">
        <v>-20990.389200000001</v>
      </c>
      <c r="F21" s="4">
        <v>-86879.269400000005</v>
      </c>
      <c r="G21" s="221">
        <v>0</v>
      </c>
    </row>
    <row r="22" spans="1:7" ht="14.4" x14ac:dyDescent="0.3">
      <c r="A22" s="240">
        <v>12150</v>
      </c>
      <c r="B22" s="241" t="s">
        <v>264</v>
      </c>
      <c r="C22" s="4">
        <v>87280.711612500323</v>
      </c>
      <c r="D22" s="4">
        <v>176463.61864977985</v>
      </c>
      <c r="E22" s="4">
        <v>-3336.2208000000001</v>
      </c>
      <c r="F22" s="4">
        <v>-13808.625600000001</v>
      </c>
      <c r="G22" s="221">
        <v>0</v>
      </c>
    </row>
    <row r="23" spans="1:7" ht="14.4" x14ac:dyDescent="0.3">
      <c r="A23" s="240">
        <v>12160</v>
      </c>
      <c r="B23" s="241" t="s">
        <v>265</v>
      </c>
      <c r="C23" s="4">
        <v>2812724.7330298517</v>
      </c>
      <c r="D23" s="4">
        <v>6306119.207580776</v>
      </c>
      <c r="E23" s="4">
        <v>-128071.7034</v>
      </c>
      <c r="F23" s="4">
        <v>-530089.07629999996</v>
      </c>
      <c r="G23" s="221">
        <v>0</v>
      </c>
    </row>
    <row r="24" spans="1:7" ht="14.4" x14ac:dyDescent="0.3">
      <c r="A24" s="240">
        <v>12220</v>
      </c>
      <c r="B24" s="241" t="s">
        <v>514</v>
      </c>
      <c r="C24" s="4">
        <v>40903780.928222239</v>
      </c>
      <c r="D24" s="4">
        <v>133165902.8771731</v>
      </c>
      <c r="E24" s="4">
        <v>-2868675.9930000002</v>
      </c>
      <c r="F24" s="4">
        <v>-11873456.5635</v>
      </c>
      <c r="G24" s="221">
        <v>0</v>
      </c>
    </row>
    <row r="25" spans="1:7" ht="14.4" x14ac:dyDescent="0.3">
      <c r="A25" s="240">
        <v>12510</v>
      </c>
      <c r="B25" s="241" t="s">
        <v>267</v>
      </c>
      <c r="C25" s="4">
        <v>4809826.2042911723</v>
      </c>
      <c r="D25" s="4">
        <v>11706700.73103087</v>
      </c>
      <c r="E25" s="4">
        <v>-270720.41700000002</v>
      </c>
      <c r="F25" s="4">
        <v>-1120512.4314999999</v>
      </c>
      <c r="G25" s="221">
        <v>0</v>
      </c>
    </row>
    <row r="26" spans="1:7" ht="14.4" x14ac:dyDescent="0.3">
      <c r="A26" s="240">
        <v>12600</v>
      </c>
      <c r="B26" s="241" t="s">
        <v>268</v>
      </c>
      <c r="C26" s="4">
        <v>3074962.0080927387</v>
      </c>
      <c r="D26" s="4">
        <v>6685735.9822265953</v>
      </c>
      <c r="E26" s="4">
        <v>-127364.0202</v>
      </c>
      <c r="F26" s="4">
        <v>-527159.97389999998</v>
      </c>
      <c r="G26" s="221">
        <v>0</v>
      </c>
    </row>
    <row r="27" spans="1:7" ht="14.4" x14ac:dyDescent="0.3">
      <c r="A27" s="240">
        <v>12700</v>
      </c>
      <c r="B27" s="241" t="s">
        <v>269</v>
      </c>
      <c r="C27" s="4">
        <v>1674030.1335230842</v>
      </c>
      <c r="D27" s="4">
        <v>3496881.0160662201</v>
      </c>
      <c r="E27" s="4">
        <v>-68480.986799999999</v>
      </c>
      <c r="F27" s="4">
        <v>-283442.96260000003</v>
      </c>
      <c r="G27" s="221">
        <v>0</v>
      </c>
    </row>
    <row r="28" spans="1:7" ht="14.4" x14ac:dyDescent="0.3">
      <c r="A28" s="240">
        <v>13500</v>
      </c>
      <c r="B28" s="241" t="s">
        <v>270</v>
      </c>
      <c r="C28" s="4">
        <v>5373730.738927912</v>
      </c>
      <c r="D28" s="4">
        <v>13317291.779672805</v>
      </c>
      <c r="E28" s="4">
        <v>-276912.64500000002</v>
      </c>
      <c r="F28" s="4">
        <v>-1146142.0775000001</v>
      </c>
      <c r="G28" s="221">
        <v>0</v>
      </c>
    </row>
    <row r="29" spans="1:7" ht="14.4" x14ac:dyDescent="0.3">
      <c r="A29" s="240">
        <v>13700</v>
      </c>
      <c r="B29" s="241" t="s">
        <v>271</v>
      </c>
      <c r="C29" s="4">
        <v>876836.90282202885</v>
      </c>
      <c r="D29" s="4">
        <v>1869990.4302782919</v>
      </c>
      <c r="E29" s="4">
        <v>-33071.5524</v>
      </c>
      <c r="F29" s="4">
        <v>-136883.23180000001</v>
      </c>
      <c r="G29" s="221">
        <v>0</v>
      </c>
    </row>
    <row r="30" spans="1:7" ht="14.4" x14ac:dyDescent="0.3">
      <c r="A30" s="240">
        <v>14300</v>
      </c>
      <c r="B30" s="241" t="s">
        <v>515</v>
      </c>
      <c r="C30" s="4">
        <v>2285971.4606802072</v>
      </c>
      <c r="D30" s="4">
        <v>5353227.4745216146</v>
      </c>
      <c r="E30" s="4">
        <v>-105368.9736</v>
      </c>
      <c r="F30" s="4">
        <v>-436122.4252</v>
      </c>
      <c r="G30" s="221">
        <v>0</v>
      </c>
    </row>
    <row r="31" spans="1:7" ht="14.4" x14ac:dyDescent="0.3">
      <c r="A31" s="240">
        <v>14300.2</v>
      </c>
      <c r="B31" s="241" t="s">
        <v>516</v>
      </c>
      <c r="C31" s="4">
        <v>127476.89980408322</v>
      </c>
      <c r="D31" s="4">
        <v>438595.23303034517</v>
      </c>
      <c r="E31" s="4">
        <v>-11057.55</v>
      </c>
      <c r="F31" s="4">
        <v>-45767.224999999999</v>
      </c>
      <c r="G31" s="221">
        <v>0</v>
      </c>
    </row>
    <row r="32" spans="1:7" ht="14.4" x14ac:dyDescent="0.3">
      <c r="A32" s="240">
        <v>18400</v>
      </c>
      <c r="B32" s="241" t="s">
        <v>517</v>
      </c>
      <c r="C32" s="4">
        <v>6261206.0235291179</v>
      </c>
      <c r="D32" s="4">
        <v>15585018.17054427</v>
      </c>
      <c r="E32" s="4">
        <v>-330488.05439999996</v>
      </c>
      <c r="F32" s="4">
        <v>-1367890.8207999999</v>
      </c>
      <c r="G32" s="221">
        <v>0</v>
      </c>
    </row>
    <row r="33" spans="1:7" ht="14.4" x14ac:dyDescent="0.3">
      <c r="A33" s="240">
        <v>18600</v>
      </c>
      <c r="B33" s="241" t="s">
        <v>275</v>
      </c>
      <c r="C33" s="4">
        <v>23539.791117112069</v>
      </c>
      <c r="D33" s="4">
        <v>47851.972596463573</v>
      </c>
      <c r="E33" s="4">
        <v>-935.15280000000007</v>
      </c>
      <c r="F33" s="4">
        <v>-3870.5996</v>
      </c>
      <c r="G33" s="221">
        <v>0</v>
      </c>
    </row>
    <row r="34" spans="1:7" ht="14.4" x14ac:dyDescent="0.3">
      <c r="A34" s="240">
        <v>18640</v>
      </c>
      <c r="B34" s="241" t="s">
        <v>276</v>
      </c>
      <c r="C34" s="4">
        <v>2834.2157418979996</v>
      </c>
      <c r="D34" s="4">
        <v>6208.5836717924976</v>
      </c>
      <c r="E34" s="4">
        <v>-132.69059999999999</v>
      </c>
      <c r="F34" s="4">
        <v>-549.20669999999996</v>
      </c>
      <c r="G34" s="221">
        <v>0</v>
      </c>
    </row>
    <row r="35" spans="1:7" ht="14.4" x14ac:dyDescent="0.3">
      <c r="A35" s="240">
        <v>18740</v>
      </c>
      <c r="B35" s="241" t="s">
        <v>277</v>
      </c>
      <c r="C35" s="4">
        <v>8680.1622932303235</v>
      </c>
      <c r="D35" s="4">
        <v>18248.404655288825</v>
      </c>
      <c r="E35" s="4">
        <v>-341.20440000000002</v>
      </c>
      <c r="F35" s="4">
        <v>-1412.2457999999999</v>
      </c>
      <c r="G35" s="221">
        <v>0</v>
      </c>
    </row>
    <row r="36" spans="1:7" ht="14.4" x14ac:dyDescent="0.3">
      <c r="A36" s="240">
        <v>18780</v>
      </c>
      <c r="B36" s="241" t="s">
        <v>518</v>
      </c>
      <c r="C36" s="4">
        <v>10442.569811710408</v>
      </c>
      <c r="D36" s="4">
        <v>54307.111061460404</v>
      </c>
      <c r="E36" s="4">
        <v>-1497.5082</v>
      </c>
      <c r="F36" s="4">
        <v>-6198.1899000000003</v>
      </c>
      <c r="G36" s="221">
        <v>0</v>
      </c>
    </row>
    <row r="37" spans="1:7" ht="14.4" x14ac:dyDescent="0.3">
      <c r="A37" s="240">
        <v>19005</v>
      </c>
      <c r="B37" s="241" t="s">
        <v>279</v>
      </c>
      <c r="C37" s="4">
        <v>2190963.6102630934</v>
      </c>
      <c r="D37" s="4">
        <v>3878839.5227903277</v>
      </c>
      <c r="E37" s="4">
        <v>-64677.189599999998</v>
      </c>
      <c r="F37" s="4">
        <v>-267699.03719999996</v>
      </c>
      <c r="G37" s="221">
        <v>0</v>
      </c>
    </row>
    <row r="38" spans="1:7" ht="14.4" x14ac:dyDescent="0.3">
      <c r="A38" s="240">
        <v>19100</v>
      </c>
      <c r="B38" s="241" t="s">
        <v>280</v>
      </c>
      <c r="C38" s="4">
        <v>-93242798.98446852</v>
      </c>
      <c r="D38" s="4">
        <v>-43509463.623176649</v>
      </c>
      <c r="E38" s="4">
        <v>-1286795.5271999999</v>
      </c>
      <c r="F38" s="4">
        <v>-5326049.6604000004</v>
      </c>
      <c r="G38" s="221">
        <v>0</v>
      </c>
    </row>
    <row r="39" spans="1:7" ht="14.4" x14ac:dyDescent="0.3">
      <c r="A39" s="240">
        <v>19120</v>
      </c>
      <c r="B39" s="241" t="s">
        <v>535</v>
      </c>
      <c r="C39" s="4">
        <v>158489996.37760296</v>
      </c>
      <c r="D39" s="4">
        <v>250066692.47840294</v>
      </c>
      <c r="E39" s="4">
        <v>-3173756.9568000003</v>
      </c>
      <c r="F39" s="4">
        <v>-13136187.377600001</v>
      </c>
      <c r="G39" s="221">
        <v>0</v>
      </c>
    </row>
    <row r="40" spans="1:7" ht="14.4" x14ac:dyDescent="0.3">
      <c r="A40" s="240">
        <v>20100</v>
      </c>
      <c r="B40" s="241" t="s">
        <v>161</v>
      </c>
      <c r="C40" s="4">
        <v>12369174.855213266</v>
      </c>
      <c r="D40" s="4">
        <v>27263631.942488544</v>
      </c>
      <c r="E40" s="4">
        <v>-509645.63879999996</v>
      </c>
      <c r="F40" s="4">
        <v>-2109424.4765999997</v>
      </c>
      <c r="G40" s="221">
        <v>0</v>
      </c>
    </row>
    <row r="41" spans="1:7" ht="14.4" x14ac:dyDescent="0.3">
      <c r="A41" s="240">
        <v>20200</v>
      </c>
      <c r="B41" s="241" t="s">
        <v>166</v>
      </c>
      <c r="C41" s="4">
        <v>1494436.2978093408</v>
      </c>
      <c r="D41" s="4">
        <v>3298973.960758382</v>
      </c>
      <c r="E41" s="4">
        <v>-65163.721799999999</v>
      </c>
      <c r="F41" s="4">
        <v>-269712.79509999999</v>
      </c>
      <c r="G41" s="221">
        <v>0</v>
      </c>
    </row>
    <row r="42" spans="1:7" ht="14.4" x14ac:dyDescent="0.3">
      <c r="A42" s="240">
        <v>20300</v>
      </c>
      <c r="B42" s="241" t="s">
        <v>162</v>
      </c>
      <c r="C42" s="4">
        <v>16456573.082068946</v>
      </c>
      <c r="D42" s="4">
        <v>42962233.144416764</v>
      </c>
      <c r="E42" s="4">
        <v>-862337.25359999994</v>
      </c>
      <c r="F42" s="4">
        <v>-3569215.8851999999</v>
      </c>
      <c r="G42" s="221">
        <v>0</v>
      </c>
    </row>
    <row r="43" spans="1:7" ht="14.4" x14ac:dyDescent="0.3">
      <c r="A43" s="240">
        <v>20400</v>
      </c>
      <c r="B43" s="241" t="s">
        <v>163</v>
      </c>
      <c r="C43" s="4">
        <v>1787146.3308623494</v>
      </c>
      <c r="D43" s="4">
        <v>3868837.061352415</v>
      </c>
      <c r="E43" s="4">
        <v>-73643.28300000001</v>
      </c>
      <c r="F43" s="4">
        <v>-304809.71850000002</v>
      </c>
      <c r="G43" s="221">
        <v>0</v>
      </c>
    </row>
    <row r="44" spans="1:7" ht="14.4" x14ac:dyDescent="0.3">
      <c r="A44" s="240">
        <v>20600</v>
      </c>
      <c r="B44" s="241" t="s">
        <v>3</v>
      </c>
      <c r="C44" s="4">
        <v>4472232.5722031053</v>
      </c>
      <c r="D44" s="4">
        <v>8775097.8780877255</v>
      </c>
      <c r="E44" s="4">
        <v>-153699.94500000001</v>
      </c>
      <c r="F44" s="4">
        <v>-636164.42750000011</v>
      </c>
      <c r="G44" s="221">
        <v>0</v>
      </c>
    </row>
    <row r="45" spans="1:7" ht="14.4" x14ac:dyDescent="0.3">
      <c r="A45" s="240">
        <v>20700</v>
      </c>
      <c r="B45" s="241" t="s">
        <v>168</v>
      </c>
      <c r="C45" s="4">
        <v>5908399.0518826265</v>
      </c>
      <c r="D45" s="4">
        <v>14104726.323970145</v>
      </c>
      <c r="E45" s="4">
        <v>-272432.75759999995</v>
      </c>
      <c r="F45" s="4">
        <v>-1127599.8132</v>
      </c>
      <c r="G45" s="221">
        <v>0</v>
      </c>
    </row>
    <row r="46" spans="1:7" ht="14.4" x14ac:dyDescent="0.3">
      <c r="A46" s="240">
        <v>20800</v>
      </c>
      <c r="B46" s="241" t="s">
        <v>164</v>
      </c>
      <c r="C46" s="4">
        <v>3980206.0258204555</v>
      </c>
      <c r="D46" s="4">
        <v>9761589.1092387121</v>
      </c>
      <c r="E46" s="4">
        <v>-202694.3694</v>
      </c>
      <c r="F46" s="4">
        <v>-838952.46330000006</v>
      </c>
      <c r="G46" s="221">
        <v>0</v>
      </c>
    </row>
    <row r="47" spans="1:7" ht="14.4" x14ac:dyDescent="0.3">
      <c r="A47" s="240">
        <v>20900</v>
      </c>
      <c r="B47" s="241" t="s">
        <v>174</v>
      </c>
      <c r="C47" s="4">
        <v>4648826.3597705644</v>
      </c>
      <c r="D47" s="4">
        <v>13874087.87397136</v>
      </c>
      <c r="E47" s="4">
        <v>-309712.4976</v>
      </c>
      <c r="F47" s="4">
        <v>-1281900.7431999999</v>
      </c>
      <c r="G47" s="221">
        <v>0</v>
      </c>
    </row>
    <row r="48" spans="1:7" ht="14.4" x14ac:dyDescent="0.3">
      <c r="A48" s="240">
        <v>21200</v>
      </c>
      <c r="B48" s="241" t="s">
        <v>169</v>
      </c>
      <c r="C48" s="4">
        <v>2498561.747277061</v>
      </c>
      <c r="D48" s="4">
        <v>6391771.4054656364</v>
      </c>
      <c r="E48" s="4">
        <v>-128134.8894</v>
      </c>
      <c r="F48" s="4">
        <v>-530350.60329999996</v>
      </c>
      <c r="G48" s="221">
        <v>0</v>
      </c>
    </row>
    <row r="49" spans="1:7" ht="14.4" x14ac:dyDescent="0.3">
      <c r="A49" s="240">
        <v>21300</v>
      </c>
      <c r="B49" s="241" t="s">
        <v>167</v>
      </c>
      <c r="C49" s="4">
        <v>30189172.005068436</v>
      </c>
      <c r="D49" s="4">
        <v>74137717.527589023</v>
      </c>
      <c r="E49" s="4">
        <v>-1455123.0312000001</v>
      </c>
      <c r="F49" s="4">
        <v>-6022757.5883999998</v>
      </c>
      <c r="G49" s="221">
        <v>0</v>
      </c>
    </row>
    <row r="50" spans="1:7" ht="14.4" x14ac:dyDescent="0.3">
      <c r="A50" s="240">
        <v>21520</v>
      </c>
      <c r="B50" s="241" t="s">
        <v>171</v>
      </c>
      <c r="C50" s="4">
        <v>45732428.910034508</v>
      </c>
      <c r="D50" s="4">
        <v>112169535.35029808</v>
      </c>
      <c r="E50" s="4">
        <v>-2190399.5573999998</v>
      </c>
      <c r="F50" s="4">
        <v>-9066068.8292999994</v>
      </c>
      <c r="G50" s="221">
        <v>0</v>
      </c>
    </row>
    <row r="51" spans="1:7" ht="14.4" x14ac:dyDescent="0.3">
      <c r="A51" s="240">
        <v>21525</v>
      </c>
      <c r="B51" s="241" t="s">
        <v>519</v>
      </c>
      <c r="C51" s="4">
        <v>2411513.0424833819</v>
      </c>
      <c r="D51" s="4">
        <v>4578746.1738600917</v>
      </c>
      <c r="E51" s="4">
        <v>-83171.731800000009</v>
      </c>
      <c r="F51" s="4">
        <v>-344247.9901</v>
      </c>
      <c r="G51" s="221">
        <v>0</v>
      </c>
    </row>
    <row r="52" spans="1:7" ht="14.4" x14ac:dyDescent="0.3">
      <c r="A52" s="240">
        <v>21525.200000000001</v>
      </c>
      <c r="B52" s="241" t="s">
        <v>520</v>
      </c>
      <c r="C52" s="4">
        <v>451238.3372409658</v>
      </c>
      <c r="D52" s="4">
        <v>733533.9888111148</v>
      </c>
      <c r="E52" s="4">
        <v>-12119.0748</v>
      </c>
      <c r="F52" s="4">
        <v>-50160.878599999996</v>
      </c>
      <c r="G52" s="221">
        <v>0</v>
      </c>
    </row>
    <row r="53" spans="1:7" ht="14.4" x14ac:dyDescent="0.3">
      <c r="A53" s="240">
        <v>21550</v>
      </c>
      <c r="B53" s="241" t="s">
        <v>170</v>
      </c>
      <c r="C53" s="4">
        <v>38449926.57033284</v>
      </c>
      <c r="D53" s="4">
        <v>107586795.00020245</v>
      </c>
      <c r="E53" s="4">
        <v>-2435295.8562000003</v>
      </c>
      <c r="F53" s="4">
        <v>-10079695.175900001</v>
      </c>
      <c r="G53" s="221">
        <v>0</v>
      </c>
    </row>
    <row r="54" spans="1:7" ht="14.4" x14ac:dyDescent="0.3">
      <c r="A54" s="240">
        <v>21570</v>
      </c>
      <c r="B54" s="241" t="s">
        <v>284</v>
      </c>
      <c r="C54" s="4">
        <v>311573.69772446272</v>
      </c>
      <c r="D54" s="4">
        <v>635210.86006598477</v>
      </c>
      <c r="E54" s="4">
        <v>-12264.402599999999</v>
      </c>
      <c r="F54" s="4">
        <v>-50762.390700000004</v>
      </c>
      <c r="G54" s="221">
        <v>0</v>
      </c>
    </row>
    <row r="55" spans="1:7" ht="14.4" x14ac:dyDescent="0.3">
      <c r="A55" s="240">
        <v>21800</v>
      </c>
      <c r="B55" s="241" t="s">
        <v>176</v>
      </c>
      <c r="C55" s="4">
        <v>4901221.487752323</v>
      </c>
      <c r="D55" s="4">
        <v>11679340.524863059</v>
      </c>
      <c r="E55" s="4">
        <v>-232890.95879999999</v>
      </c>
      <c r="F55" s="4">
        <v>-963936.21659999993</v>
      </c>
      <c r="G55" s="221">
        <v>0</v>
      </c>
    </row>
    <row r="56" spans="1:7" ht="14.4" x14ac:dyDescent="0.3">
      <c r="A56" s="240">
        <v>21900</v>
      </c>
      <c r="B56" s="241" t="s">
        <v>177</v>
      </c>
      <c r="C56" s="4">
        <v>2091627.3741343685</v>
      </c>
      <c r="D56" s="4">
        <v>5378419.1855306383</v>
      </c>
      <c r="E56" s="4">
        <v>-107011.80959999999</v>
      </c>
      <c r="F56" s="4">
        <v>-442922.12719999999</v>
      </c>
      <c r="G56" s="221">
        <v>0</v>
      </c>
    </row>
    <row r="57" spans="1:7" ht="14.4" x14ac:dyDescent="0.3">
      <c r="A57" s="240">
        <v>22000</v>
      </c>
      <c r="B57" s="241" t="s">
        <v>285</v>
      </c>
      <c r="C57" s="4">
        <v>6545460.0367132314</v>
      </c>
      <c r="D57" s="4">
        <v>12629829.134112883</v>
      </c>
      <c r="E57" s="4">
        <v>-244005.3762</v>
      </c>
      <c r="F57" s="4">
        <v>-1009938.8159</v>
      </c>
      <c r="G57" s="221">
        <v>0</v>
      </c>
    </row>
    <row r="58" spans="1:7" ht="14.4" x14ac:dyDescent="0.3">
      <c r="A58" s="240">
        <v>23000</v>
      </c>
      <c r="B58" s="241" t="s">
        <v>172</v>
      </c>
      <c r="C58" s="4">
        <v>1806352.5486552669</v>
      </c>
      <c r="D58" s="4">
        <v>4206256.1108964812</v>
      </c>
      <c r="E58" s="4">
        <v>-78072.621599999999</v>
      </c>
      <c r="F58" s="4">
        <v>-323142.76119999995</v>
      </c>
      <c r="G58" s="221">
        <v>0</v>
      </c>
    </row>
    <row r="59" spans="1:7" ht="14.4" x14ac:dyDescent="0.3">
      <c r="A59" s="240">
        <v>23100</v>
      </c>
      <c r="B59" s="241" t="s">
        <v>173</v>
      </c>
      <c r="C59" s="4">
        <v>10422055.966965051</v>
      </c>
      <c r="D59" s="4">
        <v>25481923.30438127</v>
      </c>
      <c r="E59" s="4">
        <v>-491075.27340000001</v>
      </c>
      <c r="F59" s="4">
        <v>-2032561.6913000001</v>
      </c>
      <c r="G59" s="221">
        <v>0</v>
      </c>
    </row>
    <row r="60" spans="1:7" ht="14.4" x14ac:dyDescent="0.3">
      <c r="A60" s="240">
        <v>23200</v>
      </c>
      <c r="B60" s="241" t="s">
        <v>175</v>
      </c>
      <c r="C60" s="4">
        <v>6955578.4698446728</v>
      </c>
      <c r="D60" s="4">
        <v>15665677.057851505</v>
      </c>
      <c r="E60" s="4">
        <v>-306622.7022</v>
      </c>
      <c r="F60" s="4">
        <v>-1269112.0729</v>
      </c>
      <c r="G60" s="221">
        <v>0</v>
      </c>
    </row>
    <row r="61" spans="1:7" ht="14.4" x14ac:dyDescent="0.3">
      <c r="A61" s="240">
        <v>30000</v>
      </c>
      <c r="B61" s="241" t="s">
        <v>286</v>
      </c>
      <c r="C61" s="4">
        <v>1003710.5671567218</v>
      </c>
      <c r="D61" s="4">
        <v>2549708.1709786789</v>
      </c>
      <c r="E61" s="4">
        <v>-52716.0798</v>
      </c>
      <c r="F61" s="4">
        <v>-218191.9761</v>
      </c>
      <c r="G61" s="221">
        <v>0</v>
      </c>
    </row>
    <row r="62" spans="1:7" ht="14.4" x14ac:dyDescent="0.3">
      <c r="A62" s="240">
        <v>30100</v>
      </c>
      <c r="B62" s="241" t="s">
        <v>287</v>
      </c>
      <c r="C62" s="4">
        <v>7203158.3603122551</v>
      </c>
      <c r="D62" s="4">
        <v>21057779.779846691</v>
      </c>
      <c r="E62" s="4">
        <v>-511250.56319999998</v>
      </c>
      <c r="F62" s="4">
        <v>-2116067.2623999999</v>
      </c>
      <c r="G62" s="221">
        <v>0</v>
      </c>
    </row>
    <row r="63" spans="1:7" ht="14.4" x14ac:dyDescent="0.3">
      <c r="A63" s="240">
        <v>30102</v>
      </c>
      <c r="B63" s="241" t="s">
        <v>288</v>
      </c>
      <c r="C63" s="4">
        <v>437787.70322631317</v>
      </c>
      <c r="D63" s="4">
        <v>901214.62480066263</v>
      </c>
      <c r="E63" s="4">
        <v>-16352.5368</v>
      </c>
      <c r="F63" s="4">
        <v>-67683.187600000005</v>
      </c>
      <c r="G63" s="221">
        <v>0</v>
      </c>
    </row>
    <row r="64" spans="1:7" ht="14.4" x14ac:dyDescent="0.3">
      <c r="A64" s="240">
        <v>30103</v>
      </c>
      <c r="B64" s="241" t="s">
        <v>289</v>
      </c>
      <c r="C64" s="4">
        <v>223087.06841992628</v>
      </c>
      <c r="D64" s="4">
        <v>662142.95115594729</v>
      </c>
      <c r="E64" s="4">
        <v>-14741.293799999999</v>
      </c>
      <c r="F64" s="4">
        <v>-61014.249100000001</v>
      </c>
      <c r="G64" s="221">
        <v>0</v>
      </c>
    </row>
    <row r="65" spans="1:7" ht="14.4" x14ac:dyDescent="0.3">
      <c r="A65" s="240">
        <v>30104</v>
      </c>
      <c r="B65" s="241" t="s">
        <v>290</v>
      </c>
      <c r="C65" s="4">
        <v>289940.88600103895</v>
      </c>
      <c r="D65" s="4">
        <v>530512.90901633201</v>
      </c>
      <c r="E65" s="4">
        <v>-12125.393400000001</v>
      </c>
      <c r="F65" s="4">
        <v>-50187.031300000002</v>
      </c>
      <c r="G65" s="221">
        <v>0</v>
      </c>
    </row>
    <row r="66" spans="1:7" ht="14.4" x14ac:dyDescent="0.3">
      <c r="A66" s="240">
        <v>30105</v>
      </c>
      <c r="B66" s="241" t="s">
        <v>178</v>
      </c>
      <c r="C66" s="4">
        <v>1122463.4547050819</v>
      </c>
      <c r="D66" s="4">
        <v>2596138.0715590292</v>
      </c>
      <c r="E66" s="4">
        <v>-52235.866199999997</v>
      </c>
      <c r="F66" s="4">
        <v>-216204.37090000001</v>
      </c>
      <c r="G66" s="221">
        <v>0</v>
      </c>
    </row>
    <row r="67" spans="1:7" ht="14.4" x14ac:dyDescent="0.3">
      <c r="A67" s="240">
        <v>30200</v>
      </c>
      <c r="B67" s="241" t="s">
        <v>291</v>
      </c>
      <c r="C67" s="4">
        <v>2171782.9612055733</v>
      </c>
      <c r="D67" s="4">
        <v>5285517.6394283082</v>
      </c>
      <c r="E67" s="4">
        <v>-118063.041</v>
      </c>
      <c r="F67" s="4">
        <v>-488663.19949999999</v>
      </c>
      <c r="G67" s="221">
        <v>0</v>
      </c>
    </row>
    <row r="68" spans="1:7" ht="14.4" x14ac:dyDescent="0.3">
      <c r="A68" s="240">
        <v>30300</v>
      </c>
      <c r="B68" s="241" t="s">
        <v>292</v>
      </c>
      <c r="C68" s="4">
        <v>711713.74044398917</v>
      </c>
      <c r="D68" s="4">
        <v>1803949.0138504591</v>
      </c>
      <c r="E68" s="4">
        <v>-39320.647799999999</v>
      </c>
      <c r="F68" s="4">
        <v>-162748.25210000001</v>
      </c>
      <c r="G68" s="221">
        <v>0</v>
      </c>
    </row>
    <row r="69" spans="1:7" ht="14.4" x14ac:dyDescent="0.3">
      <c r="A69" s="240">
        <v>30400</v>
      </c>
      <c r="B69" s="241" t="s">
        <v>293</v>
      </c>
      <c r="C69" s="4">
        <v>1864814.7662438415</v>
      </c>
      <c r="D69" s="4">
        <v>4085247.0662285951</v>
      </c>
      <c r="E69" s="4">
        <v>-81484.665599999993</v>
      </c>
      <c r="F69" s="4">
        <v>-337265.21919999999</v>
      </c>
      <c r="G69" s="221">
        <v>0</v>
      </c>
    </row>
    <row r="70" spans="1:7" ht="14.4" x14ac:dyDescent="0.3">
      <c r="A70" s="240">
        <v>30405</v>
      </c>
      <c r="B70" s="241" t="s">
        <v>224</v>
      </c>
      <c r="C70" s="4">
        <v>1019971.2286777383</v>
      </c>
      <c r="D70" s="4">
        <v>2320778.8055610885</v>
      </c>
      <c r="E70" s="4">
        <v>-47977.129799999995</v>
      </c>
      <c r="F70" s="4">
        <v>-198577.45110000001</v>
      </c>
      <c r="G70" s="221">
        <v>0</v>
      </c>
    </row>
    <row r="71" spans="1:7" ht="14.4" x14ac:dyDescent="0.3">
      <c r="A71" s="240">
        <v>30500</v>
      </c>
      <c r="B71" s="241" t="s">
        <v>294</v>
      </c>
      <c r="C71" s="4">
        <v>1479483.7796050427</v>
      </c>
      <c r="D71" s="4">
        <v>3642168.5979981772</v>
      </c>
      <c r="E71" s="4">
        <v>-75387.2166</v>
      </c>
      <c r="F71" s="4">
        <v>-312027.86370000005</v>
      </c>
      <c r="G71" s="221">
        <v>0</v>
      </c>
    </row>
    <row r="72" spans="1:7" ht="14.4" x14ac:dyDescent="0.3">
      <c r="A72" s="240">
        <v>30600</v>
      </c>
      <c r="B72" s="241" t="s">
        <v>295</v>
      </c>
      <c r="C72" s="4">
        <v>1072401.6879604997</v>
      </c>
      <c r="D72" s="4">
        <v>2666778.795357889</v>
      </c>
      <c r="E72" s="4">
        <v>-58832.484600000003</v>
      </c>
      <c r="F72" s="4">
        <v>-243507.78969999999</v>
      </c>
      <c r="G72" s="221">
        <v>0</v>
      </c>
    </row>
    <row r="73" spans="1:7" ht="14.4" x14ac:dyDescent="0.3">
      <c r="A73" s="240">
        <v>30601</v>
      </c>
      <c r="B73" s="241" t="s">
        <v>493</v>
      </c>
      <c r="C73" s="4">
        <v>0</v>
      </c>
      <c r="D73" s="4">
        <v>0</v>
      </c>
      <c r="E73" s="4">
        <v>0</v>
      </c>
      <c r="F73" s="4">
        <v>0</v>
      </c>
      <c r="G73" s="221">
        <v>0</v>
      </c>
    </row>
    <row r="74" spans="1:7" ht="14.4" x14ac:dyDescent="0.3">
      <c r="A74" s="240">
        <v>30700</v>
      </c>
      <c r="B74" s="241" t="s">
        <v>296</v>
      </c>
      <c r="C74" s="4">
        <v>2184008.351765356</v>
      </c>
      <c r="D74" s="4">
        <v>5587924.0160615714</v>
      </c>
      <c r="E74" s="4">
        <v>-144771.76320000002</v>
      </c>
      <c r="F74" s="4">
        <v>-599210.66240000003</v>
      </c>
      <c r="G74" s="221">
        <v>0</v>
      </c>
    </row>
    <row r="75" spans="1:7" ht="14.4" x14ac:dyDescent="0.3">
      <c r="A75" s="240">
        <v>30705</v>
      </c>
      <c r="B75" s="241" t="s">
        <v>180</v>
      </c>
      <c r="C75" s="4">
        <v>721285.93991127179</v>
      </c>
      <c r="D75" s="4">
        <v>1707410.6419714233</v>
      </c>
      <c r="E75" s="4">
        <v>-33804.51</v>
      </c>
      <c r="F75" s="4">
        <v>-139916.94500000001</v>
      </c>
      <c r="G75" s="221">
        <v>0</v>
      </c>
    </row>
    <row r="76" spans="1:7" ht="14.4" x14ac:dyDescent="0.3">
      <c r="A76" s="240">
        <v>30800</v>
      </c>
      <c r="B76" s="241" t="s">
        <v>297</v>
      </c>
      <c r="C76" s="4">
        <v>1004431.7086444858</v>
      </c>
      <c r="D76" s="4">
        <v>2270272.8627879783</v>
      </c>
      <c r="E76" s="4">
        <v>-45626.6106</v>
      </c>
      <c r="F76" s="4">
        <v>-188848.64670000001</v>
      </c>
      <c r="G76" s="221">
        <v>0</v>
      </c>
    </row>
    <row r="77" spans="1:7" ht="14.4" x14ac:dyDescent="0.3">
      <c r="A77" s="240">
        <v>30900</v>
      </c>
      <c r="B77" s="241" t="s">
        <v>298</v>
      </c>
      <c r="C77" s="4">
        <v>2399608.8992699105</v>
      </c>
      <c r="D77" s="4">
        <v>5444678.3282202799</v>
      </c>
      <c r="E77" s="4">
        <v>-104162.121</v>
      </c>
      <c r="F77" s="4">
        <v>-431127.25949999999</v>
      </c>
      <c r="G77" s="221">
        <v>0</v>
      </c>
    </row>
    <row r="78" spans="1:7" ht="14.4" x14ac:dyDescent="0.3">
      <c r="A78" s="240">
        <v>30905</v>
      </c>
      <c r="B78" s="241" t="s">
        <v>181</v>
      </c>
      <c r="C78" s="4">
        <v>547263.8827558395</v>
      </c>
      <c r="D78" s="4">
        <v>1082839.6925966551</v>
      </c>
      <c r="E78" s="4">
        <v>-19985.731799999998</v>
      </c>
      <c r="F78" s="4">
        <v>-82720.990099999995</v>
      </c>
      <c r="G78" s="221">
        <v>0</v>
      </c>
    </row>
    <row r="79" spans="1:7" ht="14.4" x14ac:dyDescent="0.3">
      <c r="A79" s="240">
        <v>31000</v>
      </c>
      <c r="B79" s="241" t="s">
        <v>299</v>
      </c>
      <c r="C79" s="4">
        <v>6303173.8139270116</v>
      </c>
      <c r="D79" s="4">
        <v>15305884.177811235</v>
      </c>
      <c r="E79" s="4">
        <v>-321174.43799999997</v>
      </c>
      <c r="F79" s="4">
        <v>-1329341.7409999999</v>
      </c>
      <c r="G79" s="221">
        <v>0</v>
      </c>
    </row>
    <row r="80" spans="1:7" ht="14.4" x14ac:dyDescent="0.3">
      <c r="A80" s="240">
        <v>31005</v>
      </c>
      <c r="B80" s="241" t="s">
        <v>183</v>
      </c>
      <c r="C80" s="4">
        <v>757225.48399507185</v>
      </c>
      <c r="D80" s="4">
        <v>1650878.0140282221</v>
      </c>
      <c r="E80" s="4">
        <v>-31807.832399999999</v>
      </c>
      <c r="F80" s="4">
        <v>-131652.6918</v>
      </c>
      <c r="G80" s="221">
        <v>0</v>
      </c>
    </row>
    <row r="81" spans="1:7" ht="14.4" x14ac:dyDescent="0.3">
      <c r="A81" s="240">
        <v>31100</v>
      </c>
      <c r="B81" s="241" t="s">
        <v>300</v>
      </c>
      <c r="C81" s="4">
        <v>9833297.3022429049</v>
      </c>
      <c r="D81" s="4">
        <v>27228097.771455176</v>
      </c>
      <c r="E81" s="4">
        <v>-600311.23020000011</v>
      </c>
      <c r="F81" s="4">
        <v>-2484689.5689000003</v>
      </c>
      <c r="G81" s="221">
        <v>0</v>
      </c>
    </row>
    <row r="82" spans="1:7" ht="14.4" x14ac:dyDescent="0.3">
      <c r="A82" s="240">
        <v>31101</v>
      </c>
      <c r="B82" s="241" t="s">
        <v>301</v>
      </c>
      <c r="C82" s="4">
        <v>70300.142118023126</v>
      </c>
      <c r="D82" s="4">
        <v>161455.32930486914</v>
      </c>
      <c r="E82" s="4">
        <v>-3727.9739999999997</v>
      </c>
      <c r="F82" s="4">
        <v>-15430.092999999999</v>
      </c>
      <c r="G82" s="221">
        <v>0</v>
      </c>
    </row>
    <row r="83" spans="1:7" ht="14.4" x14ac:dyDescent="0.3">
      <c r="A83" s="240">
        <v>31102</v>
      </c>
      <c r="B83" s="241" t="s">
        <v>302</v>
      </c>
      <c r="C83" s="4">
        <v>141941.73152967211</v>
      </c>
      <c r="D83" s="4">
        <v>466534.74459062162</v>
      </c>
      <c r="E83" s="4">
        <v>-11101.780199999999</v>
      </c>
      <c r="F83" s="4">
        <v>-45950.293899999997</v>
      </c>
      <c r="G83" s="221">
        <v>0</v>
      </c>
    </row>
    <row r="84" spans="1:7" ht="14.4" x14ac:dyDescent="0.3">
      <c r="A84" s="240">
        <v>31105</v>
      </c>
      <c r="B84" s="241" t="s">
        <v>179</v>
      </c>
      <c r="C84" s="4">
        <v>1924204.6520873313</v>
      </c>
      <c r="D84" s="4">
        <v>4799778.3137845201</v>
      </c>
      <c r="E84" s="4">
        <v>-98317.416000000012</v>
      </c>
      <c r="F84" s="4">
        <v>-406936.01200000005</v>
      </c>
      <c r="G84" s="221">
        <v>0</v>
      </c>
    </row>
    <row r="85" spans="1:7" ht="14.4" x14ac:dyDescent="0.3">
      <c r="A85" s="240">
        <v>31110</v>
      </c>
      <c r="B85" s="241" t="s">
        <v>303</v>
      </c>
      <c r="C85" s="4">
        <v>2122074.006905498</v>
      </c>
      <c r="D85" s="4">
        <v>6399326.0130590573</v>
      </c>
      <c r="E85" s="4">
        <v>-141580.8702</v>
      </c>
      <c r="F85" s="4">
        <v>-586003.54890000005</v>
      </c>
      <c r="G85" s="221">
        <v>0</v>
      </c>
    </row>
    <row r="86" spans="1:7" ht="14.4" x14ac:dyDescent="0.3">
      <c r="A86" s="240">
        <v>31200</v>
      </c>
      <c r="B86" s="241" t="s">
        <v>304</v>
      </c>
      <c r="C86" s="4">
        <v>5326183.2742261216</v>
      </c>
      <c r="D86" s="4">
        <v>12226172.492380472</v>
      </c>
      <c r="E86" s="4">
        <v>-263725.7268</v>
      </c>
      <c r="F86" s="4">
        <v>-1091561.3925999999</v>
      </c>
      <c r="G86" s="221">
        <v>0</v>
      </c>
    </row>
    <row r="87" spans="1:7" ht="14.4" x14ac:dyDescent="0.3">
      <c r="A87" s="240">
        <v>31205</v>
      </c>
      <c r="B87" s="241" t="s">
        <v>233</v>
      </c>
      <c r="C87" s="4">
        <v>522455.64176863624</v>
      </c>
      <c r="D87" s="4">
        <v>1315036.0645890818</v>
      </c>
      <c r="E87" s="4">
        <v>-27839.7516</v>
      </c>
      <c r="F87" s="4">
        <v>-115228.7962</v>
      </c>
      <c r="G87" s="221">
        <v>0</v>
      </c>
    </row>
    <row r="88" spans="1:7" ht="14.4" x14ac:dyDescent="0.3">
      <c r="A88" s="240">
        <v>31300</v>
      </c>
      <c r="B88" s="241" t="s">
        <v>305</v>
      </c>
      <c r="C88" s="4">
        <v>11070770.329179905</v>
      </c>
      <c r="D88" s="4">
        <v>34930415.724649154</v>
      </c>
      <c r="E88" s="4">
        <v>-791783.76600000006</v>
      </c>
      <c r="F88" s="4">
        <v>-3277194.8370000003</v>
      </c>
      <c r="G88" s="221">
        <v>0</v>
      </c>
    </row>
    <row r="89" spans="1:7" ht="14.4" x14ac:dyDescent="0.3">
      <c r="A89" s="240">
        <v>31301</v>
      </c>
      <c r="B89" s="241" t="s">
        <v>306</v>
      </c>
      <c r="C89" s="4">
        <v>199557.2772297386</v>
      </c>
      <c r="D89" s="4">
        <v>654482.02705029363</v>
      </c>
      <c r="E89" s="4">
        <v>-14577.010200000001</v>
      </c>
      <c r="F89" s="4">
        <v>-60334.278899999998</v>
      </c>
      <c r="G89" s="221">
        <v>0</v>
      </c>
    </row>
    <row r="90" spans="1:7" ht="14.4" x14ac:dyDescent="0.3">
      <c r="A90" s="240">
        <v>31320</v>
      </c>
      <c r="B90" s="241" t="s">
        <v>307</v>
      </c>
      <c r="C90" s="4">
        <v>1941350.9491737089</v>
      </c>
      <c r="D90" s="4">
        <v>5768506.1334903743</v>
      </c>
      <c r="E90" s="4">
        <v>-130807.65719999999</v>
      </c>
      <c r="F90" s="4">
        <v>-541413.19539999997</v>
      </c>
      <c r="G90" s="221">
        <v>0</v>
      </c>
    </row>
    <row r="91" spans="1:7" ht="14.4" x14ac:dyDescent="0.3">
      <c r="A91" s="240">
        <v>31400</v>
      </c>
      <c r="B91" s="241" t="s">
        <v>308</v>
      </c>
      <c r="C91" s="4">
        <v>5027680.2017420335</v>
      </c>
      <c r="D91" s="4">
        <v>11792969.464339741</v>
      </c>
      <c r="E91" s="4">
        <v>-252750.31860000003</v>
      </c>
      <c r="F91" s="4">
        <v>-1046134.1527000001</v>
      </c>
      <c r="G91" s="221">
        <v>0</v>
      </c>
    </row>
    <row r="92" spans="1:7" ht="14.4" x14ac:dyDescent="0.3">
      <c r="A92" s="240">
        <v>31405</v>
      </c>
      <c r="B92" s="241" t="s">
        <v>184</v>
      </c>
      <c r="C92" s="4">
        <v>1557147.14387115</v>
      </c>
      <c r="D92" s="4">
        <v>3222810.8607886015</v>
      </c>
      <c r="E92" s="4">
        <v>-61922.28</v>
      </c>
      <c r="F92" s="4">
        <v>-256296.46</v>
      </c>
      <c r="G92" s="221">
        <v>0</v>
      </c>
    </row>
    <row r="93" spans="1:7" ht="14.4" x14ac:dyDescent="0.3">
      <c r="A93" s="240">
        <v>31500</v>
      </c>
      <c r="B93" s="241" t="s">
        <v>309</v>
      </c>
      <c r="C93" s="4">
        <v>1120265.0815609777</v>
      </c>
      <c r="D93" s="4">
        <v>2315140.412252279</v>
      </c>
      <c r="E93" s="4">
        <v>-48634.264199999998</v>
      </c>
      <c r="F93" s="4">
        <v>-201297.33189999999</v>
      </c>
      <c r="G93" s="221">
        <v>0</v>
      </c>
    </row>
    <row r="94" spans="1:7" ht="14.4" x14ac:dyDescent="0.3">
      <c r="A94" s="240">
        <v>31600</v>
      </c>
      <c r="B94" s="241" t="s">
        <v>310</v>
      </c>
      <c r="C94" s="4">
        <v>3564324.7366762776</v>
      </c>
      <c r="D94" s="4">
        <v>8628300.5853474867</v>
      </c>
      <c r="E94" s="4">
        <v>-199838.3622</v>
      </c>
      <c r="F94" s="4">
        <v>-827131.44290000002</v>
      </c>
      <c r="G94" s="221">
        <v>0</v>
      </c>
    </row>
    <row r="95" spans="1:7" ht="14.4" x14ac:dyDescent="0.3">
      <c r="A95" s="240">
        <v>31605</v>
      </c>
      <c r="B95" s="241" t="s">
        <v>186</v>
      </c>
      <c r="C95" s="4">
        <v>778197.76182611263</v>
      </c>
      <c r="D95" s="4">
        <v>1680524.0827740936</v>
      </c>
      <c r="E95" s="4">
        <v>-33096.826800000003</v>
      </c>
      <c r="F95" s="4">
        <v>-136987.8426</v>
      </c>
      <c r="G95" s="221">
        <v>0</v>
      </c>
    </row>
    <row r="96" spans="1:7" ht="14.4" x14ac:dyDescent="0.3">
      <c r="A96" s="240">
        <v>31700</v>
      </c>
      <c r="B96" s="241" t="s">
        <v>311</v>
      </c>
      <c r="C96" s="4">
        <v>832747.86980448931</v>
      </c>
      <c r="D96" s="4">
        <v>2261572.9938695431</v>
      </c>
      <c r="E96" s="4">
        <v>-51186.978600000002</v>
      </c>
      <c r="F96" s="4">
        <v>-211863.0227</v>
      </c>
      <c r="G96" s="221">
        <v>0</v>
      </c>
    </row>
    <row r="97" spans="1:7" ht="14.4" x14ac:dyDescent="0.3">
      <c r="A97" s="240">
        <v>31800</v>
      </c>
      <c r="B97" s="241" t="s">
        <v>312</v>
      </c>
      <c r="C97" s="4">
        <v>6851435.0612030923</v>
      </c>
      <c r="D97" s="4">
        <v>16174182.861806657</v>
      </c>
      <c r="E97" s="4">
        <v>-354631.42500000005</v>
      </c>
      <c r="F97" s="4">
        <v>-1467820.2875000001</v>
      </c>
      <c r="G97" s="221">
        <v>0</v>
      </c>
    </row>
    <row r="98" spans="1:7" ht="14.4" x14ac:dyDescent="0.3">
      <c r="A98" s="240">
        <v>31805</v>
      </c>
      <c r="B98" s="241" t="s">
        <v>187</v>
      </c>
      <c r="C98" s="4">
        <v>1104466.5496424485</v>
      </c>
      <c r="D98" s="4">
        <v>2906717.9235728621</v>
      </c>
      <c r="E98" s="4">
        <v>-70730.4084</v>
      </c>
      <c r="F98" s="4">
        <v>-292753.32380000001</v>
      </c>
      <c r="G98" s="221">
        <v>0</v>
      </c>
    </row>
    <row r="99" spans="1:7" ht="14.4" x14ac:dyDescent="0.3">
      <c r="A99" s="240">
        <v>31810</v>
      </c>
      <c r="B99" s="241" t="s">
        <v>313</v>
      </c>
      <c r="C99" s="4">
        <v>1525952.4926570919</v>
      </c>
      <c r="D99" s="4">
        <v>3832677.1993329525</v>
      </c>
      <c r="E99" s="4">
        <v>-84662.921400000007</v>
      </c>
      <c r="F99" s="4">
        <v>-350420.02730000002</v>
      </c>
      <c r="G99" s="221">
        <v>0</v>
      </c>
    </row>
    <row r="100" spans="1:7" ht="14.4" x14ac:dyDescent="0.3">
      <c r="A100" s="240">
        <v>31820</v>
      </c>
      <c r="B100" s="241" t="s">
        <v>314</v>
      </c>
      <c r="C100" s="4">
        <v>931988.3388551675</v>
      </c>
      <c r="D100" s="4">
        <v>2905438.7782573863</v>
      </c>
      <c r="E100" s="4">
        <v>-68392.526400000002</v>
      </c>
      <c r="F100" s="4">
        <v>-283076.8248</v>
      </c>
      <c r="G100" s="221">
        <v>0</v>
      </c>
    </row>
    <row r="101" spans="1:7" ht="14.4" x14ac:dyDescent="0.3">
      <c r="A101" s="240">
        <v>31900</v>
      </c>
      <c r="B101" s="241" t="s">
        <v>315</v>
      </c>
      <c r="C101" s="4">
        <v>3720898.7117656046</v>
      </c>
      <c r="D101" s="4">
        <v>10197632.439903159</v>
      </c>
      <c r="E101" s="4">
        <v>-231165.981</v>
      </c>
      <c r="F101" s="4">
        <v>-956796.52949999995</v>
      </c>
      <c r="G101" s="221">
        <v>0</v>
      </c>
    </row>
    <row r="102" spans="1:7" ht="14.4" x14ac:dyDescent="0.3">
      <c r="A102" s="240">
        <v>32000</v>
      </c>
      <c r="B102" s="241" t="s">
        <v>316</v>
      </c>
      <c r="C102" s="4">
        <v>1239437.6760489289</v>
      </c>
      <c r="D102" s="4">
        <v>3564287.9525748333</v>
      </c>
      <c r="E102" s="4">
        <v>-83133.820200000002</v>
      </c>
      <c r="F102" s="4">
        <v>-344091.07389999996</v>
      </c>
      <c r="G102" s="221">
        <v>0</v>
      </c>
    </row>
    <row r="103" spans="1:7" ht="14.4" x14ac:dyDescent="0.3">
      <c r="A103" s="240">
        <v>32005</v>
      </c>
      <c r="B103" s="241" t="s">
        <v>229</v>
      </c>
      <c r="C103" s="4">
        <v>383795.16126844287</v>
      </c>
      <c r="D103" s="4">
        <v>1003093.9510828604</v>
      </c>
      <c r="E103" s="4">
        <v>-22639.543799999999</v>
      </c>
      <c r="F103" s="4">
        <v>-93705.124100000001</v>
      </c>
      <c r="G103" s="221">
        <v>0</v>
      </c>
    </row>
    <row r="104" spans="1:7" ht="14.4" x14ac:dyDescent="0.3">
      <c r="A104" s="240">
        <v>32100</v>
      </c>
      <c r="B104" s="241" t="s">
        <v>317</v>
      </c>
      <c r="C104" s="4">
        <v>850603.1705993372</v>
      </c>
      <c r="D104" s="4">
        <v>2056329.9938563942</v>
      </c>
      <c r="E104" s="4">
        <v>-46681.816800000001</v>
      </c>
      <c r="F104" s="4">
        <v>-193216.1476</v>
      </c>
      <c r="G104" s="221">
        <v>0</v>
      </c>
    </row>
    <row r="105" spans="1:7" ht="14.4" x14ac:dyDescent="0.3">
      <c r="A105" s="240">
        <v>32200</v>
      </c>
      <c r="B105" s="241" t="s">
        <v>318</v>
      </c>
      <c r="C105" s="4">
        <v>802185.5078140602</v>
      </c>
      <c r="D105" s="4">
        <v>1829119.1283849671</v>
      </c>
      <c r="E105" s="4">
        <v>-38461.318200000002</v>
      </c>
      <c r="F105" s="4">
        <v>-159191.48490000001</v>
      </c>
      <c r="G105" s="221">
        <v>0</v>
      </c>
    </row>
    <row r="106" spans="1:7" ht="14.4" x14ac:dyDescent="0.3">
      <c r="A106" s="240">
        <v>32300</v>
      </c>
      <c r="B106" s="241" t="s">
        <v>319</v>
      </c>
      <c r="C106" s="4">
        <v>6065403.2059176723</v>
      </c>
      <c r="D106" s="4">
        <v>15297342.326278113</v>
      </c>
      <c r="E106" s="4">
        <v>-342468.12</v>
      </c>
      <c r="F106" s="4">
        <v>-1417476.34</v>
      </c>
      <c r="G106" s="221">
        <v>0</v>
      </c>
    </row>
    <row r="107" spans="1:7" ht="14.4" x14ac:dyDescent="0.3">
      <c r="A107" s="240">
        <v>32305</v>
      </c>
      <c r="B107" s="241" t="s">
        <v>190</v>
      </c>
      <c r="C107" s="4">
        <v>1077079.9667607434</v>
      </c>
      <c r="D107" s="4">
        <v>2317081.053500507</v>
      </c>
      <c r="E107" s="4">
        <v>-44969.476199999997</v>
      </c>
      <c r="F107" s="4">
        <v>-186128.7659</v>
      </c>
      <c r="G107" s="221">
        <v>0</v>
      </c>
    </row>
    <row r="108" spans="1:7" ht="14.4" x14ac:dyDescent="0.3">
      <c r="A108" s="240">
        <v>32400</v>
      </c>
      <c r="B108" s="241" t="s">
        <v>321</v>
      </c>
      <c r="C108" s="4">
        <v>2701143.8834369075</v>
      </c>
      <c r="D108" s="4">
        <v>6074725.9554394633</v>
      </c>
      <c r="E108" s="4">
        <v>-128577.19140000001</v>
      </c>
      <c r="F108" s="4">
        <v>-532181.29229999997</v>
      </c>
      <c r="G108" s="221">
        <v>0</v>
      </c>
    </row>
    <row r="109" spans="1:7" ht="14.4" x14ac:dyDescent="0.3">
      <c r="A109" s="240">
        <v>32405</v>
      </c>
      <c r="B109" s="241" t="s">
        <v>225</v>
      </c>
      <c r="C109" s="4">
        <v>646558.82595850748</v>
      </c>
      <c r="D109" s="4">
        <v>1560134.6091637039</v>
      </c>
      <c r="E109" s="4">
        <v>-31858.3812</v>
      </c>
      <c r="F109" s="4">
        <v>-131861.91339999999</v>
      </c>
      <c r="G109" s="221">
        <v>0</v>
      </c>
    </row>
    <row r="110" spans="1:7" ht="14.4" x14ac:dyDescent="0.3">
      <c r="A110" s="240">
        <v>32410</v>
      </c>
      <c r="B110" s="241" t="s">
        <v>322</v>
      </c>
      <c r="C110" s="4">
        <v>1183262.6807405993</v>
      </c>
      <c r="D110" s="4">
        <v>2438577.6565406844</v>
      </c>
      <c r="E110" s="4">
        <v>-54668.527199999997</v>
      </c>
      <c r="F110" s="4">
        <v>-226273.16039999999</v>
      </c>
      <c r="G110" s="221">
        <v>0</v>
      </c>
    </row>
    <row r="111" spans="1:7" ht="14.4" x14ac:dyDescent="0.3">
      <c r="A111" s="240">
        <v>32500</v>
      </c>
      <c r="B111" s="241" t="s">
        <v>521</v>
      </c>
      <c r="C111" s="4">
        <v>5109087.344786441</v>
      </c>
      <c r="D111" s="4">
        <v>13306036.499164591</v>
      </c>
      <c r="E111" s="4">
        <v>-298370.61060000001</v>
      </c>
      <c r="F111" s="4">
        <v>-1234956.6466999999</v>
      </c>
      <c r="G111" s="221">
        <v>0</v>
      </c>
    </row>
    <row r="112" spans="1:7" ht="14.4" x14ac:dyDescent="0.3">
      <c r="A112" s="240">
        <v>32505</v>
      </c>
      <c r="B112" s="241" t="s">
        <v>193</v>
      </c>
      <c r="C112" s="4">
        <v>1026555.1419630495</v>
      </c>
      <c r="D112" s="4">
        <v>2434887.7003815542</v>
      </c>
      <c r="E112" s="4">
        <v>-49556.779800000004</v>
      </c>
      <c r="F112" s="4">
        <v>-205115.62610000002</v>
      </c>
      <c r="G112" s="221">
        <v>0</v>
      </c>
    </row>
    <row r="113" spans="1:7" ht="14.4" x14ac:dyDescent="0.3">
      <c r="A113" s="240">
        <v>32600</v>
      </c>
      <c r="B113" s="241" t="s">
        <v>324</v>
      </c>
      <c r="C113" s="4">
        <v>15586754.06546505</v>
      </c>
      <c r="D113" s="4">
        <v>42185157.835964732</v>
      </c>
      <c r="E113" s="4">
        <v>-1042878.6113999999</v>
      </c>
      <c r="F113" s="4">
        <v>-4316476.9823000003</v>
      </c>
      <c r="G113" s="221">
        <v>0</v>
      </c>
    </row>
    <row r="114" spans="1:7" ht="14.4" x14ac:dyDescent="0.3">
      <c r="A114" s="240">
        <v>32605</v>
      </c>
      <c r="B114" s="241" t="s">
        <v>197</v>
      </c>
      <c r="C114" s="4">
        <v>3571959.7562974994</v>
      </c>
      <c r="D114" s="4">
        <v>8736011.0491531994</v>
      </c>
      <c r="E114" s="4">
        <v>-184477.8456</v>
      </c>
      <c r="F114" s="4">
        <v>-763554.22920000006</v>
      </c>
      <c r="G114" s="221">
        <v>0</v>
      </c>
    </row>
    <row r="115" spans="1:7" ht="14.4" x14ac:dyDescent="0.3">
      <c r="A115" s="240">
        <v>32700</v>
      </c>
      <c r="B115" s="241" t="s">
        <v>325</v>
      </c>
      <c r="C115" s="4">
        <v>2361818.7257159017</v>
      </c>
      <c r="D115" s="4">
        <v>5541829.2909770114</v>
      </c>
      <c r="E115" s="4">
        <v>-117367.995</v>
      </c>
      <c r="F115" s="4">
        <v>-485786.40250000003</v>
      </c>
      <c r="G115" s="221">
        <v>0</v>
      </c>
    </row>
    <row r="116" spans="1:7" ht="14.4" x14ac:dyDescent="0.3">
      <c r="A116" s="240">
        <v>32800</v>
      </c>
      <c r="B116" s="241" t="s">
        <v>326</v>
      </c>
      <c r="C116" s="4">
        <v>2867538.9324340443</v>
      </c>
      <c r="D116" s="4">
        <v>6978262.686209891</v>
      </c>
      <c r="E116" s="4">
        <v>-152398.31339999998</v>
      </c>
      <c r="F116" s="4">
        <v>-630776.97129999998</v>
      </c>
      <c r="G116" s="221">
        <v>0</v>
      </c>
    </row>
    <row r="117" spans="1:7" ht="14.4" x14ac:dyDescent="0.3">
      <c r="A117" s="240">
        <v>32900</v>
      </c>
      <c r="B117" s="241" t="s">
        <v>327</v>
      </c>
      <c r="C117" s="4">
        <v>6613450.436161452</v>
      </c>
      <c r="D117" s="4">
        <v>17313696.955356665</v>
      </c>
      <c r="E117" s="4">
        <v>-382591.23</v>
      </c>
      <c r="F117" s="4">
        <v>-1583545.9849999999</v>
      </c>
      <c r="G117" s="221">
        <v>0</v>
      </c>
    </row>
    <row r="118" spans="1:7" ht="14.4" x14ac:dyDescent="0.3">
      <c r="A118" s="240">
        <v>32901</v>
      </c>
      <c r="B118" s="241" t="s">
        <v>522</v>
      </c>
      <c r="C118" s="4">
        <v>-408905.7027086147</v>
      </c>
      <c r="D118" s="4">
        <v>-438912.6590308852</v>
      </c>
      <c r="E118" s="4">
        <v>0</v>
      </c>
      <c r="F118" s="4">
        <v>0</v>
      </c>
      <c r="G118" s="221">
        <v>0</v>
      </c>
    </row>
    <row r="119" spans="1:7" ht="14.4" x14ac:dyDescent="0.3">
      <c r="A119" s="240">
        <v>32904</v>
      </c>
      <c r="B119" s="241" t="s">
        <v>329</v>
      </c>
      <c r="C119" s="4">
        <v>281867.49643382186</v>
      </c>
      <c r="D119" s="4">
        <v>422612.83003153233</v>
      </c>
      <c r="E119" s="4">
        <v>-7222.1598000000004</v>
      </c>
      <c r="F119" s="4">
        <v>-29892.536100000001</v>
      </c>
      <c r="G119" s="221">
        <v>0</v>
      </c>
    </row>
    <row r="120" spans="1:7" ht="14.4" x14ac:dyDescent="0.3">
      <c r="A120" s="240">
        <v>32905</v>
      </c>
      <c r="B120" s="241" t="s">
        <v>194</v>
      </c>
      <c r="C120" s="4">
        <v>1116283.062911673</v>
      </c>
      <c r="D120" s="4">
        <v>2707934.082843706</v>
      </c>
      <c r="E120" s="4">
        <v>-55755.326399999998</v>
      </c>
      <c r="F120" s="4">
        <v>-230771.42480000001</v>
      </c>
      <c r="G120" s="221">
        <v>0</v>
      </c>
    </row>
    <row r="121" spans="1:7" ht="14.4" x14ac:dyDescent="0.3">
      <c r="A121" s="240">
        <v>32910</v>
      </c>
      <c r="B121" s="241" t="s">
        <v>331</v>
      </c>
      <c r="C121" s="4">
        <v>1076395.3390500727</v>
      </c>
      <c r="D121" s="4">
        <v>2934359.6403010623</v>
      </c>
      <c r="E121" s="4">
        <v>-70395.522599999997</v>
      </c>
      <c r="F121" s="4">
        <v>-291367.23070000001</v>
      </c>
      <c r="G121" s="221">
        <v>0</v>
      </c>
    </row>
    <row r="122" spans="1:7" ht="14.4" x14ac:dyDescent="0.3">
      <c r="A122" s="240">
        <v>32915</v>
      </c>
      <c r="B122" s="241" t="s">
        <v>496</v>
      </c>
      <c r="C122" s="4">
        <v>308220.38308432989</v>
      </c>
      <c r="D122" s="4">
        <v>522293.57576081896</v>
      </c>
      <c r="E122" s="4">
        <v>-9654.8207999999995</v>
      </c>
      <c r="F122" s="4">
        <v>-39961.325600000004</v>
      </c>
      <c r="G122" s="221">
        <v>0</v>
      </c>
    </row>
    <row r="123" spans="1:7" ht="14.4" x14ac:dyDescent="0.3">
      <c r="A123" s="240">
        <v>32920</v>
      </c>
      <c r="B123" s="241" t="s">
        <v>333</v>
      </c>
      <c r="C123" s="4">
        <v>290424.88616888039</v>
      </c>
      <c r="D123" s="4">
        <v>1892634.9087579099</v>
      </c>
      <c r="E123" s="4">
        <v>-51528.183000000005</v>
      </c>
      <c r="F123" s="4">
        <v>-213275.26850000001</v>
      </c>
      <c r="G123" s="221">
        <v>0</v>
      </c>
    </row>
    <row r="124" spans="1:7" ht="14.4" x14ac:dyDescent="0.3">
      <c r="A124" s="240">
        <v>33000</v>
      </c>
      <c r="B124" s="241" t="s">
        <v>334</v>
      </c>
      <c r="C124" s="4">
        <v>2812388.7208815245</v>
      </c>
      <c r="D124" s="4">
        <v>6880766.8810512526</v>
      </c>
      <c r="E124" s="4">
        <v>-146395.6434</v>
      </c>
      <c r="F124" s="4">
        <v>-605931.90630000003</v>
      </c>
      <c r="G124" s="221">
        <v>0</v>
      </c>
    </row>
    <row r="125" spans="1:7" ht="14.4" x14ac:dyDescent="0.3">
      <c r="A125" s="240">
        <v>33001</v>
      </c>
      <c r="B125" s="241" t="s">
        <v>335</v>
      </c>
      <c r="C125" s="4">
        <v>-15650.543604417493</v>
      </c>
      <c r="D125" s="4">
        <v>35275.592522994513</v>
      </c>
      <c r="E125" s="4">
        <v>-1845.0312000000001</v>
      </c>
      <c r="F125" s="4">
        <v>-7636.5884000000005</v>
      </c>
      <c r="G125" s="221">
        <v>0</v>
      </c>
    </row>
    <row r="126" spans="1:7" ht="14.4" x14ac:dyDescent="0.3">
      <c r="A126" s="240">
        <v>33027</v>
      </c>
      <c r="B126" s="241" t="s">
        <v>336</v>
      </c>
      <c r="C126" s="4">
        <v>407877.53828003269</v>
      </c>
      <c r="D126" s="4">
        <v>1104453.1668162842</v>
      </c>
      <c r="E126" s="4">
        <v>-24541.4424</v>
      </c>
      <c r="F126" s="4">
        <v>-101577.0868</v>
      </c>
      <c r="G126" s="221">
        <v>0</v>
      </c>
    </row>
    <row r="127" spans="1:7" ht="14.4" x14ac:dyDescent="0.3">
      <c r="A127" s="240">
        <v>33100</v>
      </c>
      <c r="B127" s="241" t="s">
        <v>337</v>
      </c>
      <c r="C127" s="4">
        <v>3787407.336112563</v>
      </c>
      <c r="D127" s="4">
        <v>9632637.8771605864</v>
      </c>
      <c r="E127" s="4">
        <v>-205442.96040000001</v>
      </c>
      <c r="F127" s="4">
        <v>-850328.88780000003</v>
      </c>
      <c r="G127" s="221">
        <v>0</v>
      </c>
    </row>
    <row r="128" spans="1:7" ht="14.4" x14ac:dyDescent="0.3">
      <c r="A128" s="240">
        <v>33105</v>
      </c>
      <c r="B128" s="241" t="s">
        <v>204</v>
      </c>
      <c r="C128" s="4">
        <v>456199.51739503571</v>
      </c>
      <c r="D128" s="4">
        <v>1134971.6098698801</v>
      </c>
      <c r="E128" s="4">
        <v>-24920.558399999998</v>
      </c>
      <c r="F128" s="4">
        <v>-103146.2488</v>
      </c>
      <c r="G128" s="221">
        <v>0</v>
      </c>
    </row>
    <row r="129" spans="1:7" ht="14.4" x14ac:dyDescent="0.3">
      <c r="A129" s="240">
        <v>33200</v>
      </c>
      <c r="B129" s="241" t="s">
        <v>338</v>
      </c>
      <c r="C129" s="4">
        <v>14620462.495005975</v>
      </c>
      <c r="D129" s="4">
        <v>43290967.489616334</v>
      </c>
      <c r="E129" s="4">
        <v>-986813.67359999998</v>
      </c>
      <c r="F129" s="4">
        <v>-4084424.0752000003</v>
      </c>
      <c r="G129" s="221">
        <v>0</v>
      </c>
    </row>
    <row r="130" spans="1:7" ht="14.4" x14ac:dyDescent="0.3">
      <c r="A130" s="240">
        <v>33202</v>
      </c>
      <c r="B130" s="241" t="s">
        <v>339</v>
      </c>
      <c r="C130" s="4">
        <v>126746.83443879659</v>
      </c>
      <c r="D130" s="4">
        <v>579474.05744334462</v>
      </c>
      <c r="E130" s="4">
        <v>-17793.177600000003</v>
      </c>
      <c r="F130" s="4">
        <v>-73646.003200000006</v>
      </c>
      <c r="G130" s="221">
        <v>0</v>
      </c>
    </row>
    <row r="131" spans="1:7" ht="14.4" x14ac:dyDescent="0.3">
      <c r="A131" s="240">
        <v>33203</v>
      </c>
      <c r="B131" s="241" t="s">
        <v>340</v>
      </c>
      <c r="C131" s="4">
        <v>559783.97271768097</v>
      </c>
      <c r="D131" s="4">
        <v>1079407.2883382188</v>
      </c>
      <c r="E131" s="4">
        <v>-20093.147999999997</v>
      </c>
      <c r="F131" s="4">
        <v>-83165.585999999996</v>
      </c>
      <c r="G131" s="221">
        <v>0</v>
      </c>
    </row>
    <row r="132" spans="1:7" ht="14.4" x14ac:dyDescent="0.3">
      <c r="A132" s="240">
        <v>33204</v>
      </c>
      <c r="B132" s="241" t="s">
        <v>341</v>
      </c>
      <c r="C132" s="4">
        <v>484719.89410973235</v>
      </c>
      <c r="D132" s="4">
        <v>1392318.4527821529</v>
      </c>
      <c r="E132" s="4">
        <v>-30923.228399999996</v>
      </c>
      <c r="F132" s="4">
        <v>-127991.31379999999</v>
      </c>
      <c r="G132" s="221">
        <v>0</v>
      </c>
    </row>
    <row r="133" spans="1:7" ht="14.4" x14ac:dyDescent="0.3">
      <c r="A133" s="240">
        <v>33205</v>
      </c>
      <c r="B133" s="241" t="s">
        <v>195</v>
      </c>
      <c r="C133" s="4">
        <v>1985255.9253995607</v>
      </c>
      <c r="D133" s="4">
        <v>4456975.1401277715</v>
      </c>
      <c r="E133" s="4">
        <v>-87752.716799999995</v>
      </c>
      <c r="F133" s="4">
        <v>-363208.69759999996</v>
      </c>
      <c r="G133" s="221">
        <v>0</v>
      </c>
    </row>
    <row r="134" spans="1:7" ht="14.4" x14ac:dyDescent="0.3">
      <c r="A134" s="240">
        <v>33206</v>
      </c>
      <c r="B134" s="241" t="s">
        <v>342</v>
      </c>
      <c r="C134" s="4">
        <v>186717.37652857133</v>
      </c>
      <c r="D134" s="4">
        <v>413519.7356599858</v>
      </c>
      <c r="E134" s="4">
        <v>-8397.4194000000007</v>
      </c>
      <c r="F134" s="4">
        <v>-34756.938300000002</v>
      </c>
      <c r="G134" s="221">
        <v>0</v>
      </c>
    </row>
    <row r="135" spans="1:7" ht="14.4" x14ac:dyDescent="0.3">
      <c r="A135" s="240">
        <v>33207</v>
      </c>
      <c r="B135" s="241" t="s">
        <v>343</v>
      </c>
      <c r="C135" s="4">
        <v>135386.32949530258</v>
      </c>
      <c r="D135" s="4">
        <v>1107075.9896804015</v>
      </c>
      <c r="E135" s="4">
        <v>-32578.701599999997</v>
      </c>
      <c r="F135" s="4">
        <v>-134843.32119999998</v>
      </c>
      <c r="G135" s="221">
        <v>0</v>
      </c>
    </row>
    <row r="136" spans="1:7" ht="14.4" x14ac:dyDescent="0.3">
      <c r="A136" s="240">
        <v>33209</v>
      </c>
      <c r="B136" s="241" t="s">
        <v>499</v>
      </c>
      <c r="C136" s="4">
        <v>0</v>
      </c>
      <c r="D136" s="4">
        <v>0</v>
      </c>
      <c r="E136" s="4">
        <v>0</v>
      </c>
      <c r="F136" s="4">
        <v>0</v>
      </c>
      <c r="G136" s="221">
        <v>0</v>
      </c>
    </row>
    <row r="137" spans="1:7" ht="14.4" x14ac:dyDescent="0.3">
      <c r="A137" s="240">
        <v>33300</v>
      </c>
      <c r="B137" s="241" t="s">
        <v>344</v>
      </c>
      <c r="C137" s="4">
        <v>2552082.6779640513</v>
      </c>
      <c r="D137" s="4">
        <v>6343431.2355208499</v>
      </c>
      <c r="E137" s="4">
        <v>-140165.50380000001</v>
      </c>
      <c r="F137" s="4">
        <v>-580145.34409999999</v>
      </c>
      <c r="G137" s="221">
        <v>0</v>
      </c>
    </row>
    <row r="138" spans="1:7" ht="14.4" x14ac:dyDescent="0.3">
      <c r="A138" s="240">
        <v>33305</v>
      </c>
      <c r="B138" s="241" t="s">
        <v>196</v>
      </c>
      <c r="C138" s="4">
        <v>686596.72716654162</v>
      </c>
      <c r="D138" s="4">
        <v>1526593.4168431882</v>
      </c>
      <c r="E138" s="4">
        <v>-29634.234</v>
      </c>
      <c r="F138" s="4">
        <v>-122656.163</v>
      </c>
      <c r="G138" s="221">
        <v>0</v>
      </c>
    </row>
    <row r="139" spans="1:7" ht="14.4" x14ac:dyDescent="0.3">
      <c r="A139" s="240">
        <v>33400</v>
      </c>
      <c r="B139" s="241" t="s">
        <v>345</v>
      </c>
      <c r="C139" s="4">
        <v>26876171.227221943</v>
      </c>
      <c r="D139" s="4">
        <v>64445839.477734014</v>
      </c>
      <c r="E139" s="4">
        <v>-1367098.6146</v>
      </c>
      <c r="F139" s="4">
        <v>-5658424.3246999998</v>
      </c>
      <c r="G139" s="221">
        <v>0</v>
      </c>
    </row>
    <row r="140" spans="1:7" ht="14.4" x14ac:dyDescent="0.3">
      <c r="A140" s="240">
        <v>33402</v>
      </c>
      <c r="B140" s="241" t="s">
        <v>346</v>
      </c>
      <c r="C140" s="4">
        <v>173166.03788073585</v>
      </c>
      <c r="D140" s="4">
        <v>526643.58660589228</v>
      </c>
      <c r="E140" s="4">
        <v>-12441.323399999999</v>
      </c>
      <c r="F140" s="4">
        <v>-51494.666299999997</v>
      </c>
      <c r="G140" s="221">
        <v>0</v>
      </c>
    </row>
    <row r="141" spans="1:7" ht="14.4" x14ac:dyDescent="0.3">
      <c r="A141" s="240">
        <v>33405</v>
      </c>
      <c r="B141" s="241" t="s">
        <v>198</v>
      </c>
      <c r="C141" s="4">
        <v>2883347.5196443484</v>
      </c>
      <c r="D141" s="4">
        <v>6713956.7297221282</v>
      </c>
      <c r="E141" s="4">
        <v>-129765.0882</v>
      </c>
      <c r="F141" s="4">
        <v>-537097.99989999994</v>
      </c>
      <c r="G141" s="221">
        <v>0</v>
      </c>
    </row>
    <row r="142" spans="1:7" ht="14.4" x14ac:dyDescent="0.3">
      <c r="A142" s="240">
        <v>33500</v>
      </c>
      <c r="B142" s="241" t="s">
        <v>348</v>
      </c>
      <c r="C142" s="4">
        <v>3065105.3108973703</v>
      </c>
      <c r="D142" s="4">
        <v>8354555.0069503291</v>
      </c>
      <c r="E142" s="4">
        <v>-188806.08660000001</v>
      </c>
      <c r="F142" s="4">
        <v>-781468.82869999995</v>
      </c>
      <c r="G142" s="221">
        <v>0</v>
      </c>
    </row>
    <row r="143" spans="1:7" ht="14.4" x14ac:dyDescent="0.3">
      <c r="A143" s="240">
        <v>33501</v>
      </c>
      <c r="B143" s="241" t="s">
        <v>349</v>
      </c>
      <c r="C143" s="4">
        <v>178889.84315830143</v>
      </c>
      <c r="D143" s="4">
        <v>371229.71287102939</v>
      </c>
      <c r="E143" s="4">
        <v>-7910.8872000000001</v>
      </c>
      <c r="F143" s="4">
        <v>-32743.180400000001</v>
      </c>
      <c r="G143" s="221">
        <v>0</v>
      </c>
    </row>
    <row r="144" spans="1:7" ht="14.4" x14ac:dyDescent="0.3">
      <c r="A144" s="240">
        <v>33600</v>
      </c>
      <c r="B144" s="241" t="s">
        <v>350</v>
      </c>
      <c r="C144" s="4">
        <v>8204032.2955820402</v>
      </c>
      <c r="D144" s="4">
        <v>27481671.146131959</v>
      </c>
      <c r="E144" s="4">
        <v>-647290.02119999996</v>
      </c>
      <c r="F144" s="4">
        <v>-2679134.8933999999</v>
      </c>
      <c r="G144" s="221">
        <v>0</v>
      </c>
    </row>
    <row r="145" spans="1:7" ht="14.4" x14ac:dyDescent="0.3">
      <c r="A145" s="240">
        <v>33605</v>
      </c>
      <c r="B145" s="241" t="s">
        <v>199</v>
      </c>
      <c r="C145" s="4">
        <v>2151227.1566878837</v>
      </c>
      <c r="D145" s="4">
        <v>4526273.7292666826</v>
      </c>
      <c r="E145" s="4">
        <v>-85079.949000000008</v>
      </c>
      <c r="F145" s="4">
        <v>-352146.10550000001</v>
      </c>
      <c r="G145" s="221">
        <v>0</v>
      </c>
    </row>
    <row r="146" spans="1:7" ht="14.4" x14ac:dyDescent="0.3">
      <c r="A146" s="240">
        <v>33700</v>
      </c>
      <c r="B146" s="241" t="s">
        <v>351</v>
      </c>
      <c r="C146" s="4">
        <v>582928.83057729679</v>
      </c>
      <c r="D146" s="4">
        <v>1724852.7604367109</v>
      </c>
      <c r="E146" s="4">
        <v>-43794.2166</v>
      </c>
      <c r="F146" s="4">
        <v>-181264.36369999999</v>
      </c>
      <c r="G146" s="221">
        <v>0</v>
      </c>
    </row>
    <row r="147" spans="1:7" ht="14.4" x14ac:dyDescent="0.3">
      <c r="A147" s="240">
        <v>33800</v>
      </c>
      <c r="B147" s="241" t="s">
        <v>352</v>
      </c>
      <c r="C147" s="4">
        <v>715187.96801833471</v>
      </c>
      <c r="D147" s="4">
        <v>1589183.9453920082</v>
      </c>
      <c r="E147" s="4">
        <v>-35333.611199999999</v>
      </c>
      <c r="F147" s="4">
        <v>-146245.89840000001</v>
      </c>
      <c r="G147" s="221">
        <v>0</v>
      </c>
    </row>
    <row r="148" spans="1:7" ht="14.4" x14ac:dyDescent="0.3">
      <c r="A148" s="240">
        <v>33900</v>
      </c>
      <c r="B148" s="241" t="s">
        <v>523</v>
      </c>
      <c r="C148" s="4">
        <v>2762810.8062985963</v>
      </c>
      <c r="D148" s="4">
        <v>7177378.5004842216</v>
      </c>
      <c r="E148" s="4">
        <v>-152410.95059999998</v>
      </c>
      <c r="F148" s="4">
        <v>-630829.27669999993</v>
      </c>
      <c r="G148" s="221">
        <v>0</v>
      </c>
    </row>
    <row r="149" spans="1:7" ht="14.4" x14ac:dyDescent="0.3">
      <c r="A149" s="240">
        <v>34000</v>
      </c>
      <c r="B149" s="241" t="s">
        <v>354</v>
      </c>
      <c r="C149" s="4">
        <v>1784514.1923859024</v>
      </c>
      <c r="D149" s="4">
        <v>4105056.4349255506</v>
      </c>
      <c r="E149" s="4">
        <v>-84321.717000000004</v>
      </c>
      <c r="F149" s="4">
        <v>-349007.78149999998</v>
      </c>
      <c r="G149" s="221">
        <v>0</v>
      </c>
    </row>
    <row r="150" spans="1:7" ht="14.4" x14ac:dyDescent="0.3">
      <c r="A150" s="240">
        <v>34100</v>
      </c>
      <c r="B150" s="241" t="s">
        <v>355</v>
      </c>
      <c r="C150" s="4">
        <v>28291781.208989449</v>
      </c>
      <c r="D150" s="4">
        <v>80215732.865965843</v>
      </c>
      <c r="E150" s="4">
        <v>-1773201.3552000001</v>
      </c>
      <c r="F150" s="4">
        <v>-7339284.5064000003</v>
      </c>
      <c r="G150" s="221">
        <v>0</v>
      </c>
    </row>
    <row r="151" spans="1:7" ht="14.4" x14ac:dyDescent="0.3">
      <c r="A151" s="240">
        <v>34105</v>
      </c>
      <c r="B151" s="241" t="s">
        <v>200</v>
      </c>
      <c r="C151" s="4">
        <v>3016024.0076504601</v>
      </c>
      <c r="D151" s="4">
        <v>7057785.199891312</v>
      </c>
      <c r="E151" s="4">
        <v>-137814.9846</v>
      </c>
      <c r="F151" s="4">
        <v>-570416.53969999996</v>
      </c>
      <c r="G151" s="221">
        <v>0</v>
      </c>
    </row>
    <row r="152" spans="1:7" ht="14.4" x14ac:dyDescent="0.3">
      <c r="A152" s="240">
        <v>34200</v>
      </c>
      <c r="B152" s="241" t="s">
        <v>356</v>
      </c>
      <c r="C152" s="4">
        <v>675869.16038650181</v>
      </c>
      <c r="D152" s="4">
        <v>1808819.2639147481</v>
      </c>
      <c r="E152" s="4">
        <v>-46542.8076</v>
      </c>
      <c r="F152" s="4">
        <v>-192640.78820000001</v>
      </c>
      <c r="G152" s="221">
        <v>0</v>
      </c>
    </row>
    <row r="153" spans="1:7" ht="14.4" x14ac:dyDescent="0.3">
      <c r="A153" s="240">
        <v>34205</v>
      </c>
      <c r="B153" s="241" t="s">
        <v>201</v>
      </c>
      <c r="C153" s="4">
        <v>80316.494192823477</v>
      </c>
      <c r="D153" s="4">
        <v>670903.79869103699</v>
      </c>
      <c r="E153" s="4">
        <v>-18330.258600000001</v>
      </c>
      <c r="F153" s="4">
        <v>-75868.982700000008</v>
      </c>
      <c r="G153" s="221">
        <v>0</v>
      </c>
    </row>
    <row r="154" spans="1:7" ht="14.4" x14ac:dyDescent="0.3">
      <c r="A154" s="240">
        <v>34220</v>
      </c>
      <c r="B154" s="241" t="s">
        <v>357</v>
      </c>
      <c r="C154" s="4">
        <v>1412366.0890817964</v>
      </c>
      <c r="D154" s="4">
        <v>3278526.6138349082</v>
      </c>
      <c r="E154" s="4">
        <v>-67312.045799999993</v>
      </c>
      <c r="F154" s="4">
        <v>-278604.71309999999</v>
      </c>
      <c r="G154" s="221">
        <v>0</v>
      </c>
    </row>
    <row r="155" spans="1:7" ht="14.4" x14ac:dyDescent="0.3">
      <c r="A155" s="240">
        <v>34230</v>
      </c>
      <c r="B155" s="241" t="s">
        <v>358</v>
      </c>
      <c r="C155" s="4">
        <v>587005.76251012704</v>
      </c>
      <c r="D155" s="4">
        <v>1283644.3956118503</v>
      </c>
      <c r="E155" s="4">
        <v>-23726.343000000001</v>
      </c>
      <c r="F155" s="4">
        <v>-98203.388500000001</v>
      </c>
      <c r="G155" s="221">
        <v>0</v>
      </c>
    </row>
    <row r="156" spans="1:7" ht="14.4" x14ac:dyDescent="0.3">
      <c r="A156" s="240">
        <v>34300</v>
      </c>
      <c r="B156" s="241" t="s">
        <v>359</v>
      </c>
      <c r="C156" s="4">
        <v>6310998.9707370326</v>
      </c>
      <c r="D156" s="4">
        <v>18232958.656623587</v>
      </c>
      <c r="E156" s="4">
        <v>-415662.78239999997</v>
      </c>
      <c r="F156" s="4">
        <v>-1720429.2168000001</v>
      </c>
      <c r="G156" s="221">
        <v>0</v>
      </c>
    </row>
    <row r="157" spans="1:7" ht="14.4" x14ac:dyDescent="0.3">
      <c r="A157" s="240">
        <v>34400</v>
      </c>
      <c r="B157" s="241" t="s">
        <v>360</v>
      </c>
      <c r="C157" s="4">
        <v>1930015.7170372908</v>
      </c>
      <c r="D157" s="4">
        <v>6531518.6564490125</v>
      </c>
      <c r="E157" s="4">
        <v>-161307.53939999998</v>
      </c>
      <c r="F157" s="4">
        <v>-667652.27830000001</v>
      </c>
      <c r="G157" s="221">
        <v>0</v>
      </c>
    </row>
    <row r="158" spans="1:7" ht="14.4" x14ac:dyDescent="0.3">
      <c r="A158" s="240">
        <v>34405</v>
      </c>
      <c r="B158" s="241" t="s">
        <v>202</v>
      </c>
      <c r="C158" s="4">
        <v>318473.25053630088</v>
      </c>
      <c r="D158" s="4">
        <v>1123829.7623159522</v>
      </c>
      <c r="E158" s="4">
        <v>-28547.434799999999</v>
      </c>
      <c r="F158" s="4">
        <v>-118157.8986</v>
      </c>
      <c r="G158" s="221">
        <v>0</v>
      </c>
    </row>
    <row r="159" spans="1:7" ht="14.4" x14ac:dyDescent="0.3">
      <c r="A159" s="240">
        <v>34500</v>
      </c>
      <c r="B159" s="241" t="s">
        <v>361</v>
      </c>
      <c r="C159" s="4">
        <v>4947204.5092126653</v>
      </c>
      <c r="D159" s="4">
        <v>13704350.217196366</v>
      </c>
      <c r="E159" s="4">
        <v>-318849.19319999998</v>
      </c>
      <c r="F159" s="4">
        <v>-1319717.5474</v>
      </c>
      <c r="G159" s="221">
        <v>0</v>
      </c>
    </row>
    <row r="160" spans="1:7" ht="14.4" x14ac:dyDescent="0.3">
      <c r="A160" s="240">
        <v>34501</v>
      </c>
      <c r="B160" s="241" t="s">
        <v>362</v>
      </c>
      <c r="C160" s="4">
        <v>76267.607466065339</v>
      </c>
      <c r="D160" s="4">
        <v>198289.69691029435</v>
      </c>
      <c r="E160" s="4">
        <v>-4612.5779999999995</v>
      </c>
      <c r="F160" s="4">
        <v>-19091.471000000001</v>
      </c>
      <c r="G160" s="221">
        <v>0</v>
      </c>
    </row>
    <row r="161" spans="1:7" ht="14.4" x14ac:dyDescent="0.3">
      <c r="A161" s="240">
        <v>34505</v>
      </c>
      <c r="B161" s="241" t="s">
        <v>182</v>
      </c>
      <c r="C161" s="4">
        <v>1172342.580735805</v>
      </c>
      <c r="D161" s="4">
        <v>2478809.7914787494</v>
      </c>
      <c r="E161" s="4">
        <v>-49626.284400000004</v>
      </c>
      <c r="F161" s="4">
        <v>-205403.3058</v>
      </c>
      <c r="G161" s="221">
        <v>0</v>
      </c>
    </row>
    <row r="162" spans="1:7" ht="14.4" x14ac:dyDescent="0.3">
      <c r="A162" s="240">
        <v>34600</v>
      </c>
      <c r="B162" s="241" t="s">
        <v>363</v>
      </c>
      <c r="C162" s="4">
        <v>1566713.7606368687</v>
      </c>
      <c r="D162" s="4">
        <v>3420311.5998307471</v>
      </c>
      <c r="E162" s="4">
        <v>-67488.9666</v>
      </c>
      <c r="F162" s="4">
        <v>-279336.98869999999</v>
      </c>
      <c r="G162" s="221">
        <v>0</v>
      </c>
    </row>
    <row r="163" spans="1:7" ht="14.4" x14ac:dyDescent="0.3">
      <c r="A163" s="240">
        <v>34605</v>
      </c>
      <c r="B163" s="241" t="s">
        <v>218</v>
      </c>
      <c r="C163" s="4">
        <v>341301.62246080075</v>
      </c>
      <c r="D163" s="4">
        <v>674201.98021819885</v>
      </c>
      <c r="E163" s="4">
        <v>-13066.864800000001</v>
      </c>
      <c r="F163" s="4">
        <v>-54083.783600000002</v>
      </c>
      <c r="G163" s="221">
        <v>0</v>
      </c>
    </row>
    <row r="164" spans="1:7" ht="14.4" x14ac:dyDescent="0.3">
      <c r="A164" s="240">
        <v>34700</v>
      </c>
      <c r="B164" s="241" t="s">
        <v>364</v>
      </c>
      <c r="C164" s="4">
        <v>2571334.5683666728</v>
      </c>
      <c r="D164" s="4">
        <v>8254882.5778894806</v>
      </c>
      <c r="E164" s="4">
        <v>-206927.8314</v>
      </c>
      <c r="F164" s="4">
        <v>-856474.77229999995</v>
      </c>
      <c r="G164" s="221">
        <v>0</v>
      </c>
    </row>
    <row r="165" spans="1:7" ht="14.4" x14ac:dyDescent="0.3">
      <c r="A165" s="240">
        <v>34800</v>
      </c>
      <c r="B165" s="241" t="s">
        <v>365</v>
      </c>
      <c r="C165" s="4">
        <v>361580.93014141649</v>
      </c>
      <c r="D165" s="4">
        <v>898763.81638669805</v>
      </c>
      <c r="E165" s="4">
        <v>-20150.0154</v>
      </c>
      <c r="F165" s="4">
        <v>-83400.960300000006</v>
      </c>
      <c r="G165" s="221">
        <v>0</v>
      </c>
    </row>
    <row r="166" spans="1:7" ht="14.4" x14ac:dyDescent="0.3">
      <c r="A166" s="240">
        <v>34900</v>
      </c>
      <c r="B166" s="241" t="s">
        <v>524</v>
      </c>
      <c r="C166" s="4">
        <v>8558016.3096468896</v>
      </c>
      <c r="D166" s="4">
        <v>21889824.502057612</v>
      </c>
      <c r="E166" s="4">
        <v>-469035.99660000001</v>
      </c>
      <c r="F166" s="4">
        <v>-1941341.0737000001</v>
      </c>
      <c r="G166" s="221">
        <v>0</v>
      </c>
    </row>
    <row r="167" spans="1:7" ht="14.4" x14ac:dyDescent="0.3">
      <c r="A167" s="240">
        <v>34901</v>
      </c>
      <c r="B167" s="241" t="s">
        <v>525</v>
      </c>
      <c r="C167" s="4">
        <v>263975.01257982303</v>
      </c>
      <c r="D167" s="4">
        <v>643631.27173517912</v>
      </c>
      <c r="E167" s="4">
        <v>-14027.291999999999</v>
      </c>
      <c r="F167" s="4">
        <v>-58058.993999999999</v>
      </c>
      <c r="G167" s="221">
        <v>0</v>
      </c>
    </row>
    <row r="168" spans="1:7" ht="14.4" x14ac:dyDescent="0.3">
      <c r="A168" s="240">
        <v>34903</v>
      </c>
      <c r="B168" s="241" t="s">
        <v>368</v>
      </c>
      <c r="C168" s="4">
        <v>107914.37911113807</v>
      </c>
      <c r="D168" s="4">
        <v>130958.39113076107</v>
      </c>
      <c r="E168" s="4">
        <v>-1927.173</v>
      </c>
      <c r="F168" s="4">
        <v>-7976.5734999999995</v>
      </c>
      <c r="G168" s="221">
        <v>0</v>
      </c>
    </row>
    <row r="169" spans="1:7" ht="14.4" x14ac:dyDescent="0.3">
      <c r="A169" s="240">
        <v>34905</v>
      </c>
      <c r="B169" s="241" t="s">
        <v>210</v>
      </c>
      <c r="C169" s="4">
        <v>643622.09248810576</v>
      </c>
      <c r="D169" s="4">
        <v>1841234.1426503451</v>
      </c>
      <c r="E169" s="4">
        <v>-39453.338400000001</v>
      </c>
      <c r="F169" s="4">
        <v>-163297.45879999999</v>
      </c>
      <c r="G169" s="221">
        <v>0</v>
      </c>
    </row>
    <row r="170" spans="1:7" ht="14.4" x14ac:dyDescent="0.3">
      <c r="A170" s="240">
        <v>34910</v>
      </c>
      <c r="B170" s="241" t="s">
        <v>369</v>
      </c>
      <c r="C170" s="4">
        <v>2677992.3887362881</v>
      </c>
      <c r="D170" s="4">
        <v>6946323.1394251417</v>
      </c>
      <c r="E170" s="4">
        <v>-146477.78519999998</v>
      </c>
      <c r="F170" s="4">
        <v>-606271.89139999996</v>
      </c>
      <c r="G170" s="221">
        <v>0</v>
      </c>
    </row>
    <row r="171" spans="1:7" ht="14.4" x14ac:dyDescent="0.3">
      <c r="A171" s="240">
        <v>35000</v>
      </c>
      <c r="B171" s="241" t="s">
        <v>370</v>
      </c>
      <c r="C171" s="4">
        <v>1567096.218510183</v>
      </c>
      <c r="D171" s="4">
        <v>4422864.8017375469</v>
      </c>
      <c r="E171" s="4">
        <v>-99113.559600000008</v>
      </c>
      <c r="F171" s="4">
        <v>-410231.25220000005</v>
      </c>
      <c r="G171" s="221">
        <v>0</v>
      </c>
    </row>
    <row r="172" spans="1:7" ht="14.4" x14ac:dyDescent="0.3">
      <c r="A172" s="240">
        <v>35005</v>
      </c>
      <c r="B172" s="241" t="s">
        <v>226</v>
      </c>
      <c r="C172" s="4">
        <v>559140.51780751708</v>
      </c>
      <c r="D172" s="4">
        <v>1598765.7415816428</v>
      </c>
      <c r="E172" s="4">
        <v>-36211.8966</v>
      </c>
      <c r="F172" s="4">
        <v>-149881.1237</v>
      </c>
      <c r="G172" s="221">
        <v>0</v>
      </c>
    </row>
    <row r="173" spans="1:7" ht="14.4" x14ac:dyDescent="0.3">
      <c r="A173" s="240">
        <v>35100</v>
      </c>
      <c r="B173" s="241" t="s">
        <v>371</v>
      </c>
      <c r="C173" s="4">
        <v>13695825.763933819</v>
      </c>
      <c r="D173" s="4">
        <v>37608112.624839328</v>
      </c>
      <c r="E173" s="4">
        <v>-843659.47199999995</v>
      </c>
      <c r="F173" s="4">
        <v>-3491908.5039999997</v>
      </c>
      <c r="G173" s="221">
        <v>0</v>
      </c>
    </row>
    <row r="174" spans="1:7" ht="14.4" x14ac:dyDescent="0.3">
      <c r="A174" s="240">
        <v>35105</v>
      </c>
      <c r="B174" s="241" t="s">
        <v>205</v>
      </c>
      <c r="C174" s="4">
        <v>1459340.6897779005</v>
      </c>
      <c r="D174" s="4">
        <v>3771201.3822458689</v>
      </c>
      <c r="E174" s="4">
        <v>-74388.877800000002</v>
      </c>
      <c r="F174" s="4">
        <v>-307895.73710000003</v>
      </c>
      <c r="G174" s="221">
        <v>0</v>
      </c>
    </row>
    <row r="175" spans="1:7" ht="14.4" x14ac:dyDescent="0.3">
      <c r="A175" s="240">
        <v>35106</v>
      </c>
      <c r="B175" s="241" t="s">
        <v>372</v>
      </c>
      <c r="C175" s="4">
        <v>105093.94548633939</v>
      </c>
      <c r="D175" s="4">
        <v>572852.4685247679</v>
      </c>
      <c r="E175" s="4">
        <v>-15044.586599999999</v>
      </c>
      <c r="F175" s="4">
        <v>-62269.578699999998</v>
      </c>
      <c r="G175" s="221">
        <v>0</v>
      </c>
    </row>
    <row r="176" spans="1:7" ht="14.4" x14ac:dyDescent="0.3">
      <c r="A176" s="240">
        <v>35200</v>
      </c>
      <c r="B176" s="241" t="s">
        <v>373</v>
      </c>
      <c r="C176" s="4">
        <v>615978.60967294348</v>
      </c>
      <c r="D176" s="4">
        <v>1446107.3891005728</v>
      </c>
      <c r="E176" s="4">
        <v>-31327.6188</v>
      </c>
      <c r="F176" s="4">
        <v>-129665.08660000001</v>
      </c>
      <c r="G176" s="221">
        <v>0</v>
      </c>
    </row>
    <row r="177" spans="1:7" ht="14.4" x14ac:dyDescent="0.3">
      <c r="A177" s="240">
        <v>35300</v>
      </c>
      <c r="B177" s="241" t="s">
        <v>526</v>
      </c>
      <c r="C177" s="4">
        <v>3223105.0111229019</v>
      </c>
      <c r="D177" s="4">
        <v>9130458.3939021677</v>
      </c>
      <c r="E177" s="4">
        <v>-231823.11540000001</v>
      </c>
      <c r="F177" s="4">
        <v>-959516.41029999999</v>
      </c>
      <c r="G177" s="221">
        <v>0</v>
      </c>
    </row>
    <row r="178" spans="1:7" ht="14.4" x14ac:dyDescent="0.3">
      <c r="A178" s="240">
        <v>35305</v>
      </c>
      <c r="B178" s="241" t="s">
        <v>188</v>
      </c>
      <c r="C178" s="4">
        <v>1269887.024644393</v>
      </c>
      <c r="D178" s="4">
        <v>3947909.5832157289</v>
      </c>
      <c r="E178" s="4">
        <v>-90134.828999999998</v>
      </c>
      <c r="F178" s="4">
        <v>-373068.26550000004</v>
      </c>
      <c r="G178" s="221">
        <v>0</v>
      </c>
    </row>
    <row r="179" spans="1:7" ht="14.4" x14ac:dyDescent="0.3">
      <c r="A179" s="240">
        <v>35400</v>
      </c>
      <c r="B179" s="241" t="s">
        <v>375</v>
      </c>
      <c r="C179" s="4">
        <v>3570824.7151612584</v>
      </c>
      <c r="D179" s="4">
        <v>8837761.483260015</v>
      </c>
      <c r="E179" s="4">
        <v>-197449.9314</v>
      </c>
      <c r="F179" s="4">
        <v>-817245.72230000002</v>
      </c>
      <c r="G179" s="221">
        <v>0</v>
      </c>
    </row>
    <row r="180" spans="1:7" ht="14.4" x14ac:dyDescent="0.3">
      <c r="A180" s="240">
        <v>35401</v>
      </c>
      <c r="B180" s="241" t="s">
        <v>376</v>
      </c>
      <c r="C180" s="4">
        <v>-37841.781174027608</v>
      </c>
      <c r="D180" s="4">
        <v>11361.74908148541</v>
      </c>
      <c r="E180" s="4">
        <v>-1522.7826</v>
      </c>
      <c r="F180" s="4">
        <v>-6302.8006999999998</v>
      </c>
      <c r="G180" s="221">
        <v>0</v>
      </c>
    </row>
    <row r="181" spans="1:7" ht="14.4" x14ac:dyDescent="0.3">
      <c r="A181" s="240">
        <v>35405</v>
      </c>
      <c r="B181" s="241" t="s">
        <v>206</v>
      </c>
      <c r="C181" s="4">
        <v>579792.65177109302</v>
      </c>
      <c r="D181" s="4">
        <v>2246422.2698319601</v>
      </c>
      <c r="E181" s="4">
        <v>-51919.936199999996</v>
      </c>
      <c r="F181" s="4">
        <v>-214896.7359</v>
      </c>
      <c r="G181" s="221">
        <v>0</v>
      </c>
    </row>
    <row r="182" spans="1:7" ht="14.4" x14ac:dyDescent="0.3">
      <c r="A182" s="240">
        <v>35500</v>
      </c>
      <c r="B182" s="241" t="s">
        <v>377</v>
      </c>
      <c r="C182" s="4">
        <v>5123270.5097928196</v>
      </c>
      <c r="D182" s="4">
        <v>12107102.696529616</v>
      </c>
      <c r="E182" s="4">
        <v>-261842.78400000001</v>
      </c>
      <c r="F182" s="4">
        <v>-1083767.888</v>
      </c>
      <c r="G182" s="221">
        <v>0</v>
      </c>
    </row>
    <row r="183" spans="1:7" ht="14.4" x14ac:dyDescent="0.3">
      <c r="A183" s="240">
        <v>35600</v>
      </c>
      <c r="B183" s="241" t="s">
        <v>378</v>
      </c>
      <c r="C183" s="4">
        <v>2155788.905123997</v>
      </c>
      <c r="D183" s="4">
        <v>5057851.0655957516</v>
      </c>
      <c r="E183" s="4">
        <v>-114783.6876</v>
      </c>
      <c r="F183" s="4">
        <v>-475089.94819999998</v>
      </c>
      <c r="G183" s="221">
        <v>0</v>
      </c>
    </row>
    <row r="184" spans="1:7" ht="14.4" x14ac:dyDescent="0.3">
      <c r="A184" s="240">
        <v>35700</v>
      </c>
      <c r="B184" s="241" t="s">
        <v>379</v>
      </c>
      <c r="C184" s="4">
        <v>1242490.9965894907</v>
      </c>
      <c r="D184" s="4">
        <v>2821167.3103972562</v>
      </c>
      <c r="E184" s="4">
        <v>-60140.434800000003</v>
      </c>
      <c r="F184" s="4">
        <v>-248921.39860000001</v>
      </c>
      <c r="G184" s="221">
        <v>0</v>
      </c>
    </row>
    <row r="185" spans="1:7" ht="14.4" x14ac:dyDescent="0.3">
      <c r="A185" s="240">
        <v>35800</v>
      </c>
      <c r="B185" s="241" t="s">
        <v>380</v>
      </c>
      <c r="C185" s="4">
        <v>1358064.4968328755</v>
      </c>
      <c r="D185" s="4">
        <v>3333843.9247785476</v>
      </c>
      <c r="E185" s="4">
        <v>-71975.172600000005</v>
      </c>
      <c r="F185" s="4">
        <v>-297905.4057</v>
      </c>
      <c r="G185" s="221">
        <v>0</v>
      </c>
    </row>
    <row r="186" spans="1:7" ht="14.4" x14ac:dyDescent="0.3">
      <c r="A186" s="240">
        <v>35805</v>
      </c>
      <c r="B186" s="241" t="s">
        <v>207</v>
      </c>
      <c r="C186" s="4">
        <v>343690.56777334679</v>
      </c>
      <c r="D186" s="4">
        <v>775522.97818062536</v>
      </c>
      <c r="E186" s="4">
        <v>-14911.895999999999</v>
      </c>
      <c r="F186" s="4">
        <v>-61720.371999999996</v>
      </c>
      <c r="G186" s="221">
        <v>0</v>
      </c>
    </row>
    <row r="187" spans="1:7" ht="14.4" x14ac:dyDescent="0.3">
      <c r="A187" s="240">
        <v>35900</v>
      </c>
      <c r="B187" s="241" t="s">
        <v>381</v>
      </c>
      <c r="C187" s="4">
        <v>2311246.766950869</v>
      </c>
      <c r="D187" s="4">
        <v>6204008.8519095993</v>
      </c>
      <c r="E187" s="4">
        <v>-138952.33259999999</v>
      </c>
      <c r="F187" s="4">
        <v>-575124.0257</v>
      </c>
      <c r="G187" s="221">
        <v>0</v>
      </c>
    </row>
    <row r="188" spans="1:7" ht="14.4" x14ac:dyDescent="0.3">
      <c r="A188" s="240">
        <v>35905</v>
      </c>
      <c r="B188" s="241" t="s">
        <v>209</v>
      </c>
      <c r="C188" s="4">
        <v>678268.79694244137</v>
      </c>
      <c r="D188" s="4">
        <v>1228398.4066886632</v>
      </c>
      <c r="E188" s="4">
        <v>-21824.4444</v>
      </c>
      <c r="F188" s="4">
        <v>-90331.425799999997</v>
      </c>
      <c r="G188" s="221">
        <v>0</v>
      </c>
    </row>
    <row r="189" spans="1:7" ht="14.4" x14ac:dyDescent="0.3">
      <c r="A189" s="240">
        <v>36000</v>
      </c>
      <c r="B189" s="241" t="s">
        <v>382</v>
      </c>
      <c r="C189" s="4">
        <v>51289734.695138231</v>
      </c>
      <c r="D189" s="4">
        <v>161922348.98140991</v>
      </c>
      <c r="E189" s="4">
        <v>-3738873.585</v>
      </c>
      <c r="F189" s="4">
        <v>-15475206.407500001</v>
      </c>
      <c r="G189" s="221">
        <v>0</v>
      </c>
    </row>
    <row r="190" spans="1:7" ht="14.4" x14ac:dyDescent="0.3">
      <c r="A190" s="240">
        <v>36003</v>
      </c>
      <c r="B190" s="241" t="s">
        <v>383</v>
      </c>
      <c r="C190" s="4">
        <v>576279.55629443272</v>
      </c>
      <c r="D190" s="4">
        <v>1263712.751370789</v>
      </c>
      <c r="E190" s="4">
        <v>-27492.228599999999</v>
      </c>
      <c r="F190" s="4">
        <v>-113790.3977</v>
      </c>
      <c r="G190" s="221">
        <v>0</v>
      </c>
    </row>
    <row r="191" spans="1:7" ht="14.4" x14ac:dyDescent="0.3">
      <c r="A191" s="240">
        <v>36004</v>
      </c>
      <c r="B191" s="241" t="s">
        <v>527</v>
      </c>
      <c r="C191" s="4">
        <v>279132.42487718083</v>
      </c>
      <c r="D191" s="4">
        <v>922053.15959009388</v>
      </c>
      <c r="E191" s="4">
        <v>-21906.586200000002</v>
      </c>
      <c r="F191" s="4">
        <v>-90671.410900000003</v>
      </c>
      <c r="G191" s="221">
        <v>0</v>
      </c>
    </row>
    <row r="192" spans="1:7" ht="14.4" x14ac:dyDescent="0.3">
      <c r="A192" s="240">
        <v>36005</v>
      </c>
      <c r="B192" s="241" t="s">
        <v>189</v>
      </c>
      <c r="C192" s="4">
        <v>4731513.0097699882</v>
      </c>
      <c r="D192" s="4">
        <v>13215447.730938131</v>
      </c>
      <c r="E192" s="4">
        <v>-273481.64519999997</v>
      </c>
      <c r="F192" s="4">
        <v>-1131941.1613999999</v>
      </c>
      <c r="G192" s="221">
        <v>0</v>
      </c>
    </row>
    <row r="193" spans="1:7" ht="14.4" x14ac:dyDescent="0.3">
      <c r="A193" s="240">
        <v>36006</v>
      </c>
      <c r="B193" s="241" t="s">
        <v>385</v>
      </c>
      <c r="C193" s="4">
        <v>539219.74996788241</v>
      </c>
      <c r="D193" s="4">
        <v>1905326.1446099326</v>
      </c>
      <c r="E193" s="4">
        <v>-43907.951400000005</v>
      </c>
      <c r="F193" s="4">
        <v>-181735.11230000001</v>
      </c>
      <c r="G193" s="221">
        <v>0</v>
      </c>
    </row>
    <row r="194" spans="1:7" ht="14.4" x14ac:dyDescent="0.3">
      <c r="A194" s="240">
        <v>36007</v>
      </c>
      <c r="B194" s="241" t="s">
        <v>386</v>
      </c>
      <c r="C194" s="4">
        <v>406211.94836664514</v>
      </c>
      <c r="D194" s="4">
        <v>860763.22136977257</v>
      </c>
      <c r="E194" s="4">
        <v>-18734.649000000001</v>
      </c>
      <c r="F194" s="4">
        <v>-77542.755499999999</v>
      </c>
      <c r="G194" s="221">
        <v>0</v>
      </c>
    </row>
    <row r="195" spans="1:7" ht="14.4" x14ac:dyDescent="0.3">
      <c r="A195" s="240">
        <v>36008</v>
      </c>
      <c r="B195" s="241" t="s">
        <v>387</v>
      </c>
      <c r="C195" s="4">
        <v>374243.54962987476</v>
      </c>
      <c r="D195" s="4">
        <v>1529752.5502037799</v>
      </c>
      <c r="E195" s="4">
        <v>-38720.380799999999</v>
      </c>
      <c r="F195" s="4">
        <v>-160263.74560000002</v>
      </c>
      <c r="G195" s="221">
        <v>0</v>
      </c>
    </row>
    <row r="196" spans="1:7" ht="14.4" x14ac:dyDescent="0.3">
      <c r="A196" s="240">
        <v>36009</v>
      </c>
      <c r="B196" s="241" t="s">
        <v>388</v>
      </c>
      <c r="C196" s="4">
        <v>15869.791709958037</v>
      </c>
      <c r="D196" s="4">
        <v>104940.5256870265</v>
      </c>
      <c r="E196" s="4">
        <v>-4119.7272000000003</v>
      </c>
      <c r="F196" s="4">
        <v>-17051.560399999998</v>
      </c>
      <c r="G196" s="221">
        <v>0</v>
      </c>
    </row>
    <row r="197" spans="1:7" ht="14.4" x14ac:dyDescent="0.3">
      <c r="A197" s="240">
        <v>36100</v>
      </c>
      <c r="B197" s="241" t="s">
        <v>389</v>
      </c>
      <c r="C197" s="4">
        <v>970804.72618590365</v>
      </c>
      <c r="D197" s="4">
        <v>2189010.2442052118</v>
      </c>
      <c r="E197" s="4">
        <v>-44994.750599999999</v>
      </c>
      <c r="F197" s="4">
        <v>-186233.37669999999</v>
      </c>
      <c r="G197" s="221">
        <v>0</v>
      </c>
    </row>
    <row r="198" spans="1:7" ht="14.4" x14ac:dyDescent="0.3">
      <c r="A198" s="240">
        <v>36102</v>
      </c>
      <c r="B198" s="241" t="s">
        <v>501</v>
      </c>
      <c r="C198" s="4">
        <v>0</v>
      </c>
      <c r="D198" s="4">
        <v>0</v>
      </c>
      <c r="E198" s="4">
        <v>0</v>
      </c>
      <c r="F198" s="4">
        <v>0</v>
      </c>
      <c r="G198" s="221">
        <v>0</v>
      </c>
    </row>
    <row r="199" spans="1:7" ht="14.4" x14ac:dyDescent="0.3">
      <c r="A199" s="240">
        <v>36105</v>
      </c>
      <c r="B199" s="241" t="s">
        <v>208</v>
      </c>
      <c r="C199" s="4">
        <v>293992.87782580324</v>
      </c>
      <c r="D199" s="4">
        <v>882670.8946988153</v>
      </c>
      <c r="E199" s="4">
        <v>-18905.251199999999</v>
      </c>
      <c r="F199" s="4">
        <v>-78248.878400000001</v>
      </c>
      <c r="G199" s="221">
        <v>0</v>
      </c>
    </row>
    <row r="200" spans="1:7" ht="14.4" x14ac:dyDescent="0.3">
      <c r="A200" s="240">
        <v>36200</v>
      </c>
      <c r="B200" s="241" t="s">
        <v>390</v>
      </c>
      <c r="C200" s="4">
        <v>1691346.9982226975</v>
      </c>
      <c r="D200" s="4">
        <v>4019655.6351580038</v>
      </c>
      <c r="E200" s="4">
        <v>-84378.584400000007</v>
      </c>
      <c r="F200" s="4">
        <v>-349243.15580000001</v>
      </c>
      <c r="G200" s="221">
        <v>0</v>
      </c>
    </row>
    <row r="201" spans="1:7" ht="14.4" x14ac:dyDescent="0.3">
      <c r="A201" s="240">
        <v>36205</v>
      </c>
      <c r="B201" s="241" t="s">
        <v>211</v>
      </c>
      <c r="C201" s="4">
        <v>379508.96579920099</v>
      </c>
      <c r="D201" s="4">
        <v>948262.33473594813</v>
      </c>
      <c r="E201" s="4">
        <v>-19372.827600000001</v>
      </c>
      <c r="F201" s="4">
        <v>-80184.178200000009</v>
      </c>
      <c r="G201" s="221">
        <v>0</v>
      </c>
    </row>
    <row r="202" spans="1:7" ht="14.4" x14ac:dyDescent="0.3">
      <c r="A202" s="240">
        <v>36300</v>
      </c>
      <c r="B202" s="241" t="s">
        <v>391</v>
      </c>
      <c r="C202" s="4">
        <v>5447915.738135905</v>
      </c>
      <c r="D202" s="4">
        <v>14391619.634653844</v>
      </c>
      <c r="E202" s="4">
        <v>-308082.29879999999</v>
      </c>
      <c r="F202" s="4">
        <v>-1275153.3465999998</v>
      </c>
      <c r="G202" s="221">
        <v>0</v>
      </c>
    </row>
    <row r="203" spans="1:7" ht="14.4" x14ac:dyDescent="0.3">
      <c r="A203" s="240">
        <v>36301</v>
      </c>
      <c r="B203" s="241" t="s">
        <v>392</v>
      </c>
      <c r="C203" s="4">
        <v>131686.09162345476</v>
      </c>
      <c r="D203" s="4">
        <v>374288.19609758229</v>
      </c>
      <c r="E203" s="4">
        <v>-8113.0824000000002</v>
      </c>
      <c r="F203" s="4">
        <v>-33580.066800000001</v>
      </c>
      <c r="G203" s="221">
        <v>0</v>
      </c>
    </row>
    <row r="204" spans="1:7" ht="14.4" x14ac:dyDescent="0.3">
      <c r="A204" s="240">
        <v>36302</v>
      </c>
      <c r="B204" s="241" t="s">
        <v>393</v>
      </c>
      <c r="C204" s="4">
        <v>264503.90180172306</v>
      </c>
      <c r="D204" s="4">
        <v>655556.1371347222</v>
      </c>
      <c r="E204" s="4">
        <v>-14027.291999999999</v>
      </c>
      <c r="F204" s="4">
        <v>-58058.993999999999</v>
      </c>
      <c r="G204" s="221">
        <v>0</v>
      </c>
    </row>
    <row r="205" spans="1:7" ht="14.4" x14ac:dyDescent="0.3">
      <c r="A205" s="240">
        <v>36303</v>
      </c>
      <c r="B205" s="241" t="s">
        <v>394</v>
      </c>
      <c r="C205" s="4">
        <v>330526.77528230031</v>
      </c>
      <c r="D205" s="4">
        <v>862065.52867817145</v>
      </c>
      <c r="E205" s="4">
        <v>-18936.8442</v>
      </c>
      <c r="F205" s="4">
        <v>-78379.641900000002</v>
      </c>
      <c r="G205" s="221">
        <v>0</v>
      </c>
    </row>
    <row r="206" spans="1:7" ht="14.4" x14ac:dyDescent="0.3">
      <c r="A206" s="240">
        <v>36305</v>
      </c>
      <c r="B206" s="241" t="s">
        <v>223</v>
      </c>
      <c r="C206" s="4">
        <v>1474877.4059131928</v>
      </c>
      <c r="D206" s="4">
        <v>3279698.3682107995</v>
      </c>
      <c r="E206" s="4">
        <v>-65707.121400000004</v>
      </c>
      <c r="F206" s="4">
        <v>-271961.92730000004</v>
      </c>
      <c r="G206" s="221">
        <v>0</v>
      </c>
    </row>
    <row r="207" spans="1:7" ht="14.4" x14ac:dyDescent="0.3">
      <c r="A207" s="240">
        <v>36400</v>
      </c>
      <c r="B207" s="241" t="s">
        <v>528</v>
      </c>
      <c r="C207" s="4">
        <v>5645470.7092071641</v>
      </c>
      <c r="D207" s="4">
        <v>13856725.976896822</v>
      </c>
      <c r="E207" s="4">
        <v>-308139.16620000004</v>
      </c>
      <c r="F207" s="4">
        <v>-1275388.7209000001</v>
      </c>
      <c r="G207" s="221">
        <v>0</v>
      </c>
    </row>
    <row r="208" spans="1:7" ht="14.4" x14ac:dyDescent="0.3">
      <c r="A208" s="240">
        <v>36401</v>
      </c>
      <c r="B208" s="241" t="s">
        <v>568</v>
      </c>
      <c r="C208" s="4">
        <v>210376.890784463</v>
      </c>
      <c r="D208" s="4">
        <v>294790.634084463</v>
      </c>
      <c r="E208" s="4">
        <v>-2925.5118000000002</v>
      </c>
      <c r="F208" s="4">
        <v>-12108.7001</v>
      </c>
      <c r="G208" s="221">
        <v>0</v>
      </c>
    </row>
    <row r="209" spans="1:7" ht="14.4" x14ac:dyDescent="0.3">
      <c r="A209" s="240">
        <v>36405</v>
      </c>
      <c r="B209" s="241" t="s">
        <v>212</v>
      </c>
      <c r="C209" s="4">
        <v>464525.93886086019</v>
      </c>
      <c r="D209" s="4">
        <v>1703091.6397622642</v>
      </c>
      <c r="E209" s="4">
        <v>-41728.034399999997</v>
      </c>
      <c r="F209" s="4">
        <v>-172712.4308</v>
      </c>
      <c r="G209" s="221">
        <v>0</v>
      </c>
    </row>
    <row r="210" spans="1:7" ht="14.4" x14ac:dyDescent="0.3">
      <c r="A210" s="240">
        <v>36500</v>
      </c>
      <c r="B210" s="241" t="s">
        <v>397</v>
      </c>
      <c r="C210" s="4">
        <v>10813634.663806692</v>
      </c>
      <c r="D210" s="4">
        <v>30781541.568862397</v>
      </c>
      <c r="E210" s="4">
        <v>-703917.31440000003</v>
      </c>
      <c r="F210" s="4">
        <v>-2913515.3908000002</v>
      </c>
      <c r="G210" s="221">
        <v>0</v>
      </c>
    </row>
    <row r="211" spans="1:7" ht="14.4" x14ac:dyDescent="0.3">
      <c r="A211" s="240">
        <v>36501</v>
      </c>
      <c r="B211" s="241" t="s">
        <v>398</v>
      </c>
      <c r="C211" s="4">
        <v>109330.95429675101</v>
      </c>
      <c r="D211" s="4">
        <v>371956.02748461661</v>
      </c>
      <c r="E211" s="4">
        <v>-9402.0768000000007</v>
      </c>
      <c r="F211" s="4">
        <v>-38915.217600000004</v>
      </c>
      <c r="G211" s="221">
        <v>0</v>
      </c>
    </row>
    <row r="212" spans="1:7" ht="14.4" x14ac:dyDescent="0.3">
      <c r="A212" s="240">
        <v>36502</v>
      </c>
      <c r="B212" s="241" t="s">
        <v>399</v>
      </c>
      <c r="C212" s="4">
        <v>-30766.727266608745</v>
      </c>
      <c r="D212" s="4">
        <v>27100.265099700744</v>
      </c>
      <c r="E212" s="4">
        <v>-1320.5873999999999</v>
      </c>
      <c r="F212" s="4">
        <v>-5465.9143000000004</v>
      </c>
      <c r="G212" s="221">
        <v>0</v>
      </c>
    </row>
    <row r="213" spans="1:7" ht="14.4" x14ac:dyDescent="0.3">
      <c r="A213" s="240">
        <v>36505</v>
      </c>
      <c r="B213" s="241" t="s">
        <v>185</v>
      </c>
      <c r="C213" s="4">
        <v>2871539.7591769942</v>
      </c>
      <c r="D213" s="4">
        <v>6623290.449204661</v>
      </c>
      <c r="E213" s="4">
        <v>-135609.79320000001</v>
      </c>
      <c r="F213" s="4">
        <v>-561289.24739999999</v>
      </c>
      <c r="G213" s="221">
        <v>0</v>
      </c>
    </row>
    <row r="214" spans="1:7" ht="14.4" x14ac:dyDescent="0.3">
      <c r="A214" s="240">
        <v>36600</v>
      </c>
      <c r="B214" s="241" t="s">
        <v>400</v>
      </c>
      <c r="C214" s="4">
        <v>425766.39837414311</v>
      </c>
      <c r="D214" s="4">
        <v>1332021.5623795285</v>
      </c>
      <c r="E214" s="4">
        <v>-32035.301999999996</v>
      </c>
      <c r="F214" s="4">
        <v>-132594.18899999998</v>
      </c>
      <c r="G214" s="221">
        <v>0</v>
      </c>
    </row>
    <row r="215" spans="1:7" ht="14.4" x14ac:dyDescent="0.3">
      <c r="A215" s="240">
        <v>36601</v>
      </c>
      <c r="B215" s="241" t="s">
        <v>503</v>
      </c>
      <c r="C215" s="4">
        <v>-26418.150651750038</v>
      </c>
      <c r="D215" s="4">
        <v>513009</v>
      </c>
      <c r="E215" s="4">
        <v>0</v>
      </c>
      <c r="F215" s="4">
        <v>0</v>
      </c>
      <c r="G215" s="221">
        <v>0</v>
      </c>
    </row>
    <row r="216" spans="1:7" ht="14.4" x14ac:dyDescent="0.3">
      <c r="A216" s="240">
        <v>36700</v>
      </c>
      <c r="B216" s="241" t="s">
        <v>401</v>
      </c>
      <c r="C216" s="4">
        <v>13295711.829636138</v>
      </c>
      <c r="D216" s="4">
        <v>32437440.364503324</v>
      </c>
      <c r="E216" s="4">
        <v>-650461.9584</v>
      </c>
      <c r="F216" s="4">
        <v>-2692263.5488</v>
      </c>
      <c r="G216" s="221">
        <v>0</v>
      </c>
    </row>
    <row r="217" spans="1:7" ht="14.4" x14ac:dyDescent="0.3">
      <c r="A217" s="240">
        <v>36701</v>
      </c>
      <c r="B217" s="241" t="s">
        <v>402</v>
      </c>
      <c r="C217" s="4">
        <v>21616.657757069508</v>
      </c>
      <c r="D217" s="4">
        <v>113941.52031550548</v>
      </c>
      <c r="E217" s="4">
        <v>-2318.9261999999999</v>
      </c>
      <c r="F217" s="4">
        <v>-9598.0409</v>
      </c>
      <c r="G217" s="221">
        <v>0</v>
      </c>
    </row>
    <row r="218" spans="1:7" ht="14.4" x14ac:dyDescent="0.3">
      <c r="A218" s="240">
        <v>36705</v>
      </c>
      <c r="B218" s="241" t="s">
        <v>191</v>
      </c>
      <c r="C218" s="4">
        <v>823063.3056964064</v>
      </c>
      <c r="D218" s="4">
        <v>2236972.4615217098</v>
      </c>
      <c r="E218" s="4">
        <v>-57050.6394</v>
      </c>
      <c r="F218" s="4">
        <v>-236132.72829999999</v>
      </c>
      <c r="G218" s="221">
        <v>0</v>
      </c>
    </row>
    <row r="219" spans="1:7" ht="14.4" x14ac:dyDescent="0.3">
      <c r="A219" s="240">
        <v>36800</v>
      </c>
      <c r="B219" s="241" t="s">
        <v>403</v>
      </c>
      <c r="C219" s="4">
        <v>3932077.1422667061</v>
      </c>
      <c r="D219" s="4">
        <v>10007210.261567403</v>
      </c>
      <c r="E219" s="4">
        <v>-217903.2396</v>
      </c>
      <c r="F219" s="4">
        <v>-901902.0122</v>
      </c>
      <c r="G219" s="221">
        <v>0</v>
      </c>
    </row>
    <row r="220" spans="1:7" ht="14.4" x14ac:dyDescent="0.3">
      <c r="A220" s="240">
        <v>36802</v>
      </c>
      <c r="B220" s="241" t="s">
        <v>404</v>
      </c>
      <c r="C220" s="4">
        <v>218520.89594981482</v>
      </c>
      <c r="D220" s="4">
        <v>733063.84691576089</v>
      </c>
      <c r="E220" s="4">
        <v>-17079.175800000001</v>
      </c>
      <c r="F220" s="4">
        <v>-70690.748099999997</v>
      </c>
      <c r="G220" s="221">
        <v>0</v>
      </c>
    </row>
    <row r="221" spans="1:7" ht="14.4" x14ac:dyDescent="0.3">
      <c r="A221" s="240">
        <v>36810</v>
      </c>
      <c r="B221" s="241" t="s">
        <v>529</v>
      </c>
      <c r="C221" s="4">
        <v>7024204.6369590284</v>
      </c>
      <c r="D221" s="4">
        <v>19125537.97810154</v>
      </c>
      <c r="E221" s="4">
        <v>-425216.50559999997</v>
      </c>
      <c r="F221" s="4">
        <v>-1759972.0991999998</v>
      </c>
      <c r="G221" s="221">
        <v>0</v>
      </c>
    </row>
    <row r="222" spans="1:7" ht="14.4" x14ac:dyDescent="0.3">
      <c r="A222" s="240">
        <v>36900</v>
      </c>
      <c r="B222" s="241" t="s">
        <v>406</v>
      </c>
      <c r="C222" s="4">
        <v>704148.15372644842</v>
      </c>
      <c r="D222" s="4">
        <v>1674798.1482408666</v>
      </c>
      <c r="E222" s="4">
        <v>-40773.925800000005</v>
      </c>
      <c r="F222" s="4">
        <v>-168763.3731</v>
      </c>
      <c r="G222" s="221">
        <v>0</v>
      </c>
    </row>
    <row r="223" spans="1:7" ht="14.4" x14ac:dyDescent="0.3">
      <c r="A223" s="240">
        <v>36901</v>
      </c>
      <c r="B223" s="241" t="s">
        <v>407</v>
      </c>
      <c r="C223" s="4">
        <v>322452.75949794927</v>
      </c>
      <c r="D223" s="4">
        <v>696113.93697376724</v>
      </c>
      <c r="E223" s="4">
        <v>-14008.3362</v>
      </c>
      <c r="F223" s="4">
        <v>-57980.535899999995</v>
      </c>
      <c r="G223" s="221">
        <v>0</v>
      </c>
    </row>
    <row r="224" spans="1:7" ht="14.4" x14ac:dyDescent="0.3">
      <c r="A224" s="240">
        <v>36905</v>
      </c>
      <c r="B224" s="241" t="s">
        <v>213</v>
      </c>
      <c r="C224" s="4">
        <v>125431.46959937341</v>
      </c>
      <c r="D224" s="4">
        <v>485188.1427786125</v>
      </c>
      <c r="E224" s="4">
        <v>-11367.161400000001</v>
      </c>
      <c r="F224" s="4">
        <v>-47048.707300000002</v>
      </c>
      <c r="G224" s="221">
        <v>0</v>
      </c>
    </row>
    <row r="225" spans="1:7" ht="14.4" x14ac:dyDescent="0.3">
      <c r="A225" s="240">
        <v>37000</v>
      </c>
      <c r="B225" s="241" t="s">
        <v>408</v>
      </c>
      <c r="C225" s="4">
        <v>1930478.5565405039</v>
      </c>
      <c r="D225" s="4">
        <v>5372558.9556951318</v>
      </c>
      <c r="E225" s="4">
        <v>-119181.4332</v>
      </c>
      <c r="F225" s="4">
        <v>-493292.22739999997</v>
      </c>
      <c r="G225" s="221">
        <v>0</v>
      </c>
    </row>
    <row r="226" spans="1:7" ht="14.4" x14ac:dyDescent="0.3">
      <c r="A226" s="240">
        <v>37001</v>
      </c>
      <c r="B226" s="241" t="s">
        <v>409</v>
      </c>
      <c r="C226" s="4">
        <v>276312.59534360468</v>
      </c>
      <c r="D226" s="4">
        <v>646801.95078542014</v>
      </c>
      <c r="E226" s="4">
        <v>-14178.938400000001</v>
      </c>
      <c r="F226" s="4">
        <v>-58686.658800000005</v>
      </c>
      <c r="G226" s="221">
        <v>0</v>
      </c>
    </row>
    <row r="227" spans="1:7" ht="14.4" x14ac:dyDescent="0.3">
      <c r="A227" s="240">
        <v>37005</v>
      </c>
      <c r="B227" s="241" t="s">
        <v>192</v>
      </c>
      <c r="C227" s="4">
        <v>853625.65103296575</v>
      </c>
      <c r="D227" s="4">
        <v>1904262.2522955216</v>
      </c>
      <c r="E227" s="4">
        <v>-38612.964599999999</v>
      </c>
      <c r="F227" s="4">
        <v>-159819.14969999998</v>
      </c>
      <c r="G227" s="221">
        <v>0</v>
      </c>
    </row>
    <row r="228" spans="1:7" ht="14.4" x14ac:dyDescent="0.3">
      <c r="A228" s="240">
        <v>37100</v>
      </c>
      <c r="B228" s="241" t="s">
        <v>410</v>
      </c>
      <c r="C228" s="4">
        <v>5855466.4295673957</v>
      </c>
      <c r="D228" s="4">
        <v>12979683.651939558</v>
      </c>
      <c r="E228" s="4">
        <v>-257552.4546</v>
      </c>
      <c r="F228" s="4">
        <v>-1066010.2047000001</v>
      </c>
      <c r="G228" s="221">
        <v>0</v>
      </c>
    </row>
    <row r="229" spans="1:7" ht="14.4" x14ac:dyDescent="0.3">
      <c r="A229" s="240">
        <v>37200</v>
      </c>
      <c r="B229" s="241" t="s">
        <v>411</v>
      </c>
      <c r="C229" s="4">
        <v>1056374.3698518276</v>
      </c>
      <c r="D229" s="4">
        <v>2174111.1450522882</v>
      </c>
      <c r="E229" s="4">
        <v>-45354.910799999998</v>
      </c>
      <c r="F229" s="4">
        <v>-187724.08059999999</v>
      </c>
      <c r="G229" s="221">
        <v>0</v>
      </c>
    </row>
    <row r="230" spans="1:7" ht="14.4" x14ac:dyDescent="0.3">
      <c r="A230" s="240">
        <v>37300</v>
      </c>
      <c r="B230" s="241" t="s">
        <v>412</v>
      </c>
      <c r="C230" s="4">
        <v>2038697.2312452917</v>
      </c>
      <c r="D230" s="4">
        <v>5031115.9761698181</v>
      </c>
      <c r="E230" s="4">
        <v>-114878.4666</v>
      </c>
      <c r="F230" s="4">
        <v>-475482.23869999999</v>
      </c>
      <c r="G230" s="221">
        <v>0</v>
      </c>
    </row>
    <row r="231" spans="1:7" ht="14.4" x14ac:dyDescent="0.3">
      <c r="A231" s="240">
        <v>37301</v>
      </c>
      <c r="B231" s="241" t="s">
        <v>413</v>
      </c>
      <c r="C231" s="4">
        <v>198148.66441604795</v>
      </c>
      <c r="D231" s="4">
        <v>569938.04290115798</v>
      </c>
      <c r="E231" s="4">
        <v>-12378.1374</v>
      </c>
      <c r="F231" s="4">
        <v>-51233.139299999995</v>
      </c>
      <c r="G231" s="221">
        <v>0</v>
      </c>
    </row>
    <row r="232" spans="1:7" ht="14.4" x14ac:dyDescent="0.3">
      <c r="A232" s="240">
        <v>37305</v>
      </c>
      <c r="B232" s="241" t="s">
        <v>214</v>
      </c>
      <c r="C232" s="4">
        <v>539511.46947667282</v>
      </c>
      <c r="D232" s="4">
        <v>1249817.2928006859</v>
      </c>
      <c r="E232" s="4">
        <v>-26759.271000000001</v>
      </c>
      <c r="F232" s="4">
        <v>-110756.6845</v>
      </c>
      <c r="G232" s="221">
        <v>0</v>
      </c>
    </row>
    <row r="233" spans="1:7" ht="14.4" x14ac:dyDescent="0.3">
      <c r="A233" s="240">
        <v>37400</v>
      </c>
      <c r="B233" s="241" t="s">
        <v>414</v>
      </c>
      <c r="C233" s="4">
        <v>8465000.6866511498</v>
      </c>
      <c r="D233" s="4">
        <v>24175798.17708803</v>
      </c>
      <c r="E233" s="4">
        <v>-576831.31259999995</v>
      </c>
      <c r="F233" s="4">
        <v>-2387506.1357</v>
      </c>
      <c r="G233" s="221">
        <v>0</v>
      </c>
    </row>
    <row r="234" spans="1:7" ht="14.4" x14ac:dyDescent="0.3">
      <c r="A234" s="240">
        <v>37405</v>
      </c>
      <c r="B234" s="241" t="s">
        <v>215</v>
      </c>
      <c r="C234" s="4">
        <v>1470362.9511422336</v>
      </c>
      <c r="D234" s="4">
        <v>4566318.9945781045</v>
      </c>
      <c r="E234" s="4">
        <v>-103252.24260000001</v>
      </c>
      <c r="F234" s="4">
        <v>-427361.27070000005</v>
      </c>
      <c r="G234" s="221">
        <v>0</v>
      </c>
    </row>
    <row r="235" spans="1:7" ht="14.4" x14ac:dyDescent="0.3">
      <c r="A235" s="240">
        <v>37500</v>
      </c>
      <c r="B235" s="241" t="s">
        <v>415</v>
      </c>
      <c r="C235" s="4">
        <v>1353391.6104118046</v>
      </c>
      <c r="D235" s="4">
        <v>3062923.4913231521</v>
      </c>
      <c r="E235" s="4">
        <v>-63634.620599999995</v>
      </c>
      <c r="F235" s="4">
        <v>-263383.84169999999</v>
      </c>
      <c r="G235" s="221">
        <v>0</v>
      </c>
    </row>
    <row r="236" spans="1:7" ht="14.4" x14ac:dyDescent="0.3">
      <c r="A236" s="240">
        <v>37600</v>
      </c>
      <c r="B236" s="241" t="s">
        <v>416</v>
      </c>
      <c r="C236" s="4">
        <v>5580466.0133907907</v>
      </c>
      <c r="D236" s="4">
        <v>15610100.717457008</v>
      </c>
      <c r="E236" s="4">
        <v>-352628.42879999999</v>
      </c>
      <c r="F236" s="4">
        <v>-1459529.8816000002</v>
      </c>
      <c r="G236" s="221">
        <v>0</v>
      </c>
    </row>
    <row r="237" spans="1:7" ht="14.4" x14ac:dyDescent="0.3">
      <c r="A237" s="240">
        <v>37601</v>
      </c>
      <c r="B237" s="241" t="s">
        <v>417</v>
      </c>
      <c r="C237" s="4">
        <v>546911.75817451905</v>
      </c>
      <c r="D237" s="4">
        <v>1617887.9969460003</v>
      </c>
      <c r="E237" s="4">
        <v>-37665.174599999998</v>
      </c>
      <c r="F237" s="4">
        <v>-155896.24470000001</v>
      </c>
      <c r="G237" s="221">
        <v>0</v>
      </c>
    </row>
    <row r="238" spans="1:7" ht="14.4" x14ac:dyDescent="0.3">
      <c r="A238" s="240">
        <v>37605</v>
      </c>
      <c r="B238" s="241" t="s">
        <v>216</v>
      </c>
      <c r="C238" s="4">
        <v>708813.58141529991</v>
      </c>
      <c r="D238" s="4">
        <v>1981691.4209974385</v>
      </c>
      <c r="E238" s="4">
        <v>-42631.5942</v>
      </c>
      <c r="F238" s="4">
        <v>-176452.26689999999</v>
      </c>
      <c r="G238" s="221">
        <v>0</v>
      </c>
    </row>
    <row r="239" spans="1:7" ht="14.4" x14ac:dyDescent="0.3">
      <c r="A239" s="240">
        <v>37610</v>
      </c>
      <c r="B239" s="241" t="s">
        <v>418</v>
      </c>
      <c r="C239" s="4">
        <v>1349602.8691665097</v>
      </c>
      <c r="D239" s="4">
        <v>4506010.1736737257</v>
      </c>
      <c r="E239" s="4">
        <v>-106266.2148</v>
      </c>
      <c r="F239" s="4">
        <v>-439836.10859999998</v>
      </c>
      <c r="G239" s="221">
        <v>0</v>
      </c>
    </row>
    <row r="240" spans="1:7" ht="14.4" x14ac:dyDescent="0.3">
      <c r="A240" s="240">
        <v>37700</v>
      </c>
      <c r="B240" s="241" t="s">
        <v>419</v>
      </c>
      <c r="C240" s="4">
        <v>3121571.9535230845</v>
      </c>
      <c r="D240" s="4">
        <v>7510232.1530347224</v>
      </c>
      <c r="E240" s="4">
        <v>-161446.54859999998</v>
      </c>
      <c r="F240" s="4">
        <v>-668227.63769999996</v>
      </c>
      <c r="G240" s="221">
        <v>0</v>
      </c>
    </row>
    <row r="241" spans="1:7" ht="14.4" x14ac:dyDescent="0.3">
      <c r="A241" s="240">
        <v>37705</v>
      </c>
      <c r="B241" s="241" t="s">
        <v>217</v>
      </c>
      <c r="C241" s="4">
        <v>834727.18607897765</v>
      </c>
      <c r="D241" s="4">
        <v>2194759.9898631955</v>
      </c>
      <c r="E241" s="4">
        <v>-45550.787400000001</v>
      </c>
      <c r="F241" s="4">
        <v>-188534.8143</v>
      </c>
      <c r="G241" s="221">
        <v>0</v>
      </c>
    </row>
    <row r="242" spans="1:7" ht="14.4" x14ac:dyDescent="0.3">
      <c r="A242" s="240">
        <v>37800</v>
      </c>
      <c r="B242" s="241" t="s">
        <v>420</v>
      </c>
      <c r="C242" s="4">
        <v>8882614.9611065462</v>
      </c>
      <c r="D242" s="4">
        <v>21253140.549715128</v>
      </c>
      <c r="E242" s="4">
        <v>-492206.3028</v>
      </c>
      <c r="F242" s="4">
        <v>-2037243.0246000001</v>
      </c>
      <c r="G242" s="221">
        <v>0</v>
      </c>
    </row>
    <row r="243" spans="1:7" ht="14.4" x14ac:dyDescent="0.3">
      <c r="A243" s="240">
        <v>37801</v>
      </c>
      <c r="B243" s="241" t="s">
        <v>421</v>
      </c>
      <c r="C243" s="4">
        <v>33499.223026792446</v>
      </c>
      <c r="D243" s="4">
        <v>163016.64055495043</v>
      </c>
      <c r="E243" s="4">
        <v>-4208.1876000000002</v>
      </c>
      <c r="F243" s="4">
        <v>-17417.698200000003</v>
      </c>
      <c r="G243" s="221">
        <v>0</v>
      </c>
    </row>
    <row r="244" spans="1:7" ht="14.4" x14ac:dyDescent="0.3">
      <c r="A244" s="240">
        <v>37805</v>
      </c>
      <c r="B244" s="241" t="s">
        <v>219</v>
      </c>
      <c r="C244" s="4">
        <v>832736.97627549933</v>
      </c>
      <c r="D244" s="4">
        <v>1911837.8387368016</v>
      </c>
      <c r="E244" s="4">
        <v>-39604.984799999998</v>
      </c>
      <c r="F244" s="4">
        <v>-163925.12359999999</v>
      </c>
      <c r="G244" s="221">
        <v>0</v>
      </c>
    </row>
    <row r="245" spans="1:7" ht="14.4" x14ac:dyDescent="0.3">
      <c r="A245" s="240">
        <v>37900</v>
      </c>
      <c r="B245" s="241" t="s">
        <v>422</v>
      </c>
      <c r="C245" s="4">
        <v>4881836.6929919384</v>
      </c>
      <c r="D245" s="4">
        <v>12278773.705441812</v>
      </c>
      <c r="E245" s="4">
        <v>-259776.6018</v>
      </c>
      <c r="F245" s="4">
        <v>-1075215.9550999999</v>
      </c>
      <c r="G245" s="221">
        <v>0</v>
      </c>
    </row>
    <row r="246" spans="1:7" ht="14.4" x14ac:dyDescent="0.3">
      <c r="A246" s="240">
        <v>37901</v>
      </c>
      <c r="B246" s="241" t="s">
        <v>423</v>
      </c>
      <c r="C246" s="4">
        <v>288753.90961551294</v>
      </c>
      <c r="D246" s="4">
        <v>578930.20218208851</v>
      </c>
      <c r="E246" s="4">
        <v>-10867.992</v>
      </c>
      <c r="F246" s="4">
        <v>-44982.644</v>
      </c>
      <c r="G246" s="221">
        <v>0</v>
      </c>
    </row>
    <row r="247" spans="1:7" ht="14.4" x14ac:dyDescent="0.3">
      <c r="A247" s="240">
        <v>37905</v>
      </c>
      <c r="B247" s="241" t="s">
        <v>220</v>
      </c>
      <c r="C247" s="4">
        <v>533121.55904064199</v>
      </c>
      <c r="D247" s="4">
        <v>1340128.59179641</v>
      </c>
      <c r="E247" s="4">
        <v>-27732.3354</v>
      </c>
      <c r="F247" s="4">
        <v>-114784.2003</v>
      </c>
      <c r="G247" s="221">
        <v>0</v>
      </c>
    </row>
    <row r="248" spans="1:7" ht="14.4" x14ac:dyDescent="0.3">
      <c r="A248" s="240">
        <v>38000</v>
      </c>
      <c r="B248" s="241" t="s">
        <v>424</v>
      </c>
      <c r="C248" s="4">
        <v>6095654.7666382696</v>
      </c>
      <c r="D248" s="4">
        <v>18406303.491557788</v>
      </c>
      <c r="E248" s="4">
        <v>-410873.28359999997</v>
      </c>
      <c r="F248" s="4">
        <v>-1700605.4701999999</v>
      </c>
      <c r="G248" s="221">
        <v>0</v>
      </c>
    </row>
    <row r="249" spans="1:7" ht="14.4" x14ac:dyDescent="0.3">
      <c r="A249" s="240">
        <v>38005</v>
      </c>
      <c r="B249" s="241" t="s">
        <v>221</v>
      </c>
      <c r="C249" s="4">
        <v>1863457.1452232837</v>
      </c>
      <c r="D249" s="4">
        <v>4501842.2490837779</v>
      </c>
      <c r="E249" s="4">
        <v>-93325.721999999994</v>
      </c>
      <c r="F249" s="4">
        <v>-386275.37900000002</v>
      </c>
      <c r="G249" s="221">
        <v>0</v>
      </c>
    </row>
    <row r="250" spans="1:7" ht="14.4" x14ac:dyDescent="0.3">
      <c r="A250" s="240">
        <v>38100</v>
      </c>
      <c r="B250" s="241" t="s">
        <v>425</v>
      </c>
      <c r="C250" s="4">
        <v>2976222.3309728438</v>
      </c>
      <c r="D250" s="4">
        <v>8002358.1256638793</v>
      </c>
      <c r="E250" s="4">
        <v>-188622.84719999999</v>
      </c>
      <c r="F250" s="4">
        <v>-780710.40039999993</v>
      </c>
      <c r="G250" s="221">
        <v>0</v>
      </c>
    </row>
    <row r="251" spans="1:7" ht="14.4" x14ac:dyDescent="0.3">
      <c r="A251" s="240">
        <v>38105</v>
      </c>
      <c r="B251" s="241" t="s">
        <v>203</v>
      </c>
      <c r="C251" s="4">
        <v>573433.08040098997</v>
      </c>
      <c r="D251" s="4">
        <v>1597090.5834095627</v>
      </c>
      <c r="E251" s="4">
        <v>-35144.053199999995</v>
      </c>
      <c r="F251" s="4">
        <v>-145461.3174</v>
      </c>
      <c r="G251" s="221">
        <v>0</v>
      </c>
    </row>
    <row r="252" spans="1:7" ht="14.4" x14ac:dyDescent="0.3">
      <c r="A252" s="240">
        <v>38200</v>
      </c>
      <c r="B252" s="241" t="s">
        <v>426</v>
      </c>
      <c r="C252" s="4">
        <v>3495401.2362963241</v>
      </c>
      <c r="D252" s="4">
        <v>8138528.6232020613</v>
      </c>
      <c r="E252" s="4">
        <v>-179808.4002</v>
      </c>
      <c r="F252" s="4">
        <v>-744227.38390000002</v>
      </c>
      <c r="G252" s="221">
        <v>0</v>
      </c>
    </row>
    <row r="253" spans="1:7" ht="14.4" x14ac:dyDescent="0.3">
      <c r="A253" s="240">
        <v>38205</v>
      </c>
      <c r="B253" s="241" t="s">
        <v>222</v>
      </c>
      <c r="C253" s="4">
        <v>500426.60450277373</v>
      </c>
      <c r="D253" s="4">
        <v>1307406.2149848274</v>
      </c>
      <c r="E253" s="4">
        <v>-27587.007600000001</v>
      </c>
      <c r="F253" s="4">
        <v>-114182.68819999999</v>
      </c>
      <c r="G253" s="221">
        <v>0</v>
      </c>
    </row>
    <row r="254" spans="1:7" ht="14.4" x14ac:dyDescent="0.3">
      <c r="A254" s="240">
        <v>38210</v>
      </c>
      <c r="B254" s="241" t="s">
        <v>427</v>
      </c>
      <c r="C254" s="4">
        <v>1294419.7558678121</v>
      </c>
      <c r="D254" s="4">
        <v>3083318.1706808088</v>
      </c>
      <c r="E254" s="4">
        <v>-69934.264800000004</v>
      </c>
      <c r="F254" s="4">
        <v>-289458.08360000001</v>
      </c>
      <c r="G254" s="221">
        <v>0</v>
      </c>
    </row>
    <row r="255" spans="1:7" ht="14.4" x14ac:dyDescent="0.3">
      <c r="A255" s="240">
        <v>38300</v>
      </c>
      <c r="B255" s="241" t="s">
        <v>428</v>
      </c>
      <c r="C255" s="4">
        <v>2439479.3126476402</v>
      </c>
      <c r="D255" s="4">
        <v>6088001.9200079134</v>
      </c>
      <c r="E255" s="4">
        <v>-141113.29380000001</v>
      </c>
      <c r="F255" s="4">
        <v>-584068.24910000002</v>
      </c>
      <c r="G255" s="221">
        <v>0</v>
      </c>
    </row>
    <row r="256" spans="1:7" ht="14.4" x14ac:dyDescent="0.3">
      <c r="A256" s="240">
        <v>38400</v>
      </c>
      <c r="B256" s="241" t="s">
        <v>429</v>
      </c>
      <c r="C256" s="4">
        <v>3387895.3912911569</v>
      </c>
      <c r="D256" s="4">
        <v>8532679.7327673491</v>
      </c>
      <c r="E256" s="4">
        <v>-183113.02799999999</v>
      </c>
      <c r="F256" s="4">
        <v>-757905.24600000004</v>
      </c>
      <c r="G256" s="221">
        <v>0</v>
      </c>
    </row>
    <row r="257" spans="1:7" ht="14.4" x14ac:dyDescent="0.3">
      <c r="A257" s="240">
        <v>38402</v>
      </c>
      <c r="B257" s="241" t="s">
        <v>430</v>
      </c>
      <c r="C257" s="4">
        <v>189701.48323033727</v>
      </c>
      <c r="D257" s="4">
        <v>598412.29409793031</v>
      </c>
      <c r="E257" s="4">
        <v>-13117.4136</v>
      </c>
      <c r="F257" s="4">
        <v>-54293.0052</v>
      </c>
      <c r="G257" s="221">
        <v>0</v>
      </c>
    </row>
    <row r="258" spans="1:7" ht="14.4" x14ac:dyDescent="0.3">
      <c r="A258" s="240">
        <v>38405</v>
      </c>
      <c r="B258" s="241" t="s">
        <v>227</v>
      </c>
      <c r="C258" s="4">
        <v>635076.89045439207</v>
      </c>
      <c r="D258" s="4">
        <v>1885577.8872774318</v>
      </c>
      <c r="E258" s="4">
        <v>-42934.887000000002</v>
      </c>
      <c r="F258" s="4">
        <v>-177707.59649999999</v>
      </c>
      <c r="G258" s="221">
        <v>0</v>
      </c>
    </row>
    <row r="259" spans="1:7" ht="14.4" x14ac:dyDescent="0.3">
      <c r="A259" s="240">
        <v>38500</v>
      </c>
      <c r="B259" s="241" t="s">
        <v>431</v>
      </c>
      <c r="C259" s="4">
        <v>2530395.6329858676</v>
      </c>
      <c r="D259" s="4">
        <v>6107867.4826849941</v>
      </c>
      <c r="E259" s="4">
        <v>-135654.02340000001</v>
      </c>
      <c r="F259" s="4">
        <v>-561472.31630000006</v>
      </c>
      <c r="G259" s="221">
        <v>0</v>
      </c>
    </row>
    <row r="260" spans="1:7" ht="14.4" x14ac:dyDescent="0.3">
      <c r="A260" s="240">
        <v>38600</v>
      </c>
      <c r="B260" s="241" t="s">
        <v>432</v>
      </c>
      <c r="C260" s="4">
        <v>2981719.146520386</v>
      </c>
      <c r="D260" s="4">
        <v>7347881.2155113826</v>
      </c>
      <c r="E260" s="4">
        <v>-169047.82440000001</v>
      </c>
      <c r="F260" s="4">
        <v>-699689.3358</v>
      </c>
      <c r="G260" s="221">
        <v>0</v>
      </c>
    </row>
    <row r="261" spans="1:7" ht="14.4" x14ac:dyDescent="0.3">
      <c r="A261" s="240">
        <v>38601</v>
      </c>
      <c r="B261" s="241" t="s">
        <v>505</v>
      </c>
      <c r="C261" s="4">
        <v>56510.916837249999</v>
      </c>
      <c r="D261" s="4">
        <v>140935.66</v>
      </c>
      <c r="E261" s="4">
        <v>0</v>
      </c>
      <c r="F261" s="4">
        <v>0</v>
      </c>
      <c r="G261" s="221">
        <v>0</v>
      </c>
    </row>
    <row r="262" spans="1:7" ht="14.4" x14ac:dyDescent="0.3">
      <c r="A262" s="240">
        <v>38602</v>
      </c>
      <c r="B262" s="241" t="s">
        <v>433</v>
      </c>
      <c r="C262" s="4">
        <v>48884.527225725877</v>
      </c>
      <c r="D262" s="4">
        <v>436061.53609400091</v>
      </c>
      <c r="E262" s="4">
        <v>-12422.367600000001</v>
      </c>
      <c r="F262" s="4">
        <v>-51416.208200000001</v>
      </c>
      <c r="G262" s="221">
        <v>0</v>
      </c>
    </row>
    <row r="263" spans="1:7" ht="14.4" x14ac:dyDescent="0.3">
      <c r="A263" s="240">
        <v>38605</v>
      </c>
      <c r="B263" s="241" t="s">
        <v>228</v>
      </c>
      <c r="C263" s="4">
        <v>829368.10342869675</v>
      </c>
      <c r="D263" s="4">
        <v>2159238.8255610955</v>
      </c>
      <c r="E263" s="4">
        <v>-46776.595800000003</v>
      </c>
      <c r="F263" s="4">
        <v>-193608.4381</v>
      </c>
      <c r="G263" s="221">
        <v>0</v>
      </c>
    </row>
    <row r="264" spans="1:7" ht="14.4" x14ac:dyDescent="0.3">
      <c r="A264" s="240">
        <v>38610</v>
      </c>
      <c r="B264" s="241" t="s">
        <v>434</v>
      </c>
      <c r="C264" s="4">
        <v>833325.61294201191</v>
      </c>
      <c r="D264" s="4">
        <v>2042545.7562923224</v>
      </c>
      <c r="E264" s="4">
        <v>-44451.351000000002</v>
      </c>
      <c r="F264" s="4">
        <v>-183984.2445</v>
      </c>
      <c r="G264" s="221">
        <v>0</v>
      </c>
    </row>
    <row r="265" spans="1:7" ht="14.4" x14ac:dyDescent="0.3">
      <c r="A265" s="240">
        <v>38620</v>
      </c>
      <c r="B265" s="241" t="s">
        <v>435</v>
      </c>
      <c r="C265" s="4">
        <v>630133.80797886476</v>
      </c>
      <c r="D265" s="4">
        <v>1308229.5249163746</v>
      </c>
      <c r="E265" s="4">
        <v>-30158.677800000001</v>
      </c>
      <c r="F265" s="4">
        <v>-124826.8371</v>
      </c>
      <c r="G265" s="221">
        <v>0</v>
      </c>
    </row>
    <row r="266" spans="1:7" ht="14.4" x14ac:dyDescent="0.3">
      <c r="A266" s="240">
        <v>38700</v>
      </c>
      <c r="B266" s="241" t="s">
        <v>436</v>
      </c>
      <c r="C266" s="4">
        <v>844089.90317773388</v>
      </c>
      <c r="D266" s="4">
        <v>2341977.7356557688</v>
      </c>
      <c r="E266" s="4">
        <v>-54371.553</v>
      </c>
      <c r="F266" s="4">
        <v>-225043.9835</v>
      </c>
      <c r="G266" s="221">
        <v>0</v>
      </c>
    </row>
    <row r="267" spans="1:7" ht="14.4" x14ac:dyDescent="0.3">
      <c r="A267" s="240">
        <v>38701</v>
      </c>
      <c r="B267" s="241" t="s">
        <v>437</v>
      </c>
      <c r="C267" s="4">
        <v>102906.83379771138</v>
      </c>
      <c r="D267" s="4">
        <v>257784.09954286134</v>
      </c>
      <c r="E267" s="4">
        <v>-5023.2869999999994</v>
      </c>
      <c r="F267" s="4">
        <v>-20791.396499999999</v>
      </c>
      <c r="G267" s="221">
        <v>0</v>
      </c>
    </row>
    <row r="268" spans="1:7" ht="14.4" x14ac:dyDescent="0.3">
      <c r="A268" s="240">
        <v>38800</v>
      </c>
      <c r="B268" s="241" t="s">
        <v>438</v>
      </c>
      <c r="C268" s="4">
        <v>1545667.4864756851</v>
      </c>
      <c r="D268" s="4">
        <v>4032240.9909600802</v>
      </c>
      <c r="E268" s="4">
        <v>-95448.771599999993</v>
      </c>
      <c r="F268" s="4">
        <v>-395062.6862</v>
      </c>
      <c r="G268" s="221">
        <v>0</v>
      </c>
    </row>
    <row r="269" spans="1:7" ht="14.4" x14ac:dyDescent="0.3">
      <c r="A269" s="240">
        <v>38801</v>
      </c>
      <c r="B269" s="241" t="s">
        <v>439</v>
      </c>
      <c r="C269" s="4">
        <v>158383.52530333825</v>
      </c>
      <c r="D269" s="4">
        <v>385307.40641115978</v>
      </c>
      <c r="E269" s="4">
        <v>-9913.8833999999988</v>
      </c>
      <c r="F269" s="4">
        <v>-41033.586299999995</v>
      </c>
      <c r="G269" s="221">
        <v>0</v>
      </c>
    </row>
    <row r="270" spans="1:7" ht="14.4" x14ac:dyDescent="0.3">
      <c r="A270" s="240">
        <v>38900</v>
      </c>
      <c r="B270" s="241" t="s">
        <v>440</v>
      </c>
      <c r="C270" s="4">
        <v>210447.05511060299</v>
      </c>
      <c r="D270" s="4">
        <v>734877.58927938878</v>
      </c>
      <c r="E270" s="4">
        <v>-18785.197800000002</v>
      </c>
      <c r="F270" s="4">
        <v>-77751.977100000004</v>
      </c>
      <c r="G270" s="221">
        <v>0</v>
      </c>
    </row>
    <row r="271" spans="1:7" ht="14.4" x14ac:dyDescent="0.3">
      <c r="A271" s="240">
        <v>39000</v>
      </c>
      <c r="B271" s="241" t="s">
        <v>441</v>
      </c>
      <c r="C271" s="4">
        <v>14170578.686994985</v>
      </c>
      <c r="D271" s="4">
        <v>39755368.773756482</v>
      </c>
      <c r="E271" s="4">
        <v>-927279.82440000004</v>
      </c>
      <c r="F271" s="4">
        <v>-3838013.3358</v>
      </c>
      <c r="G271" s="221">
        <v>0</v>
      </c>
    </row>
    <row r="272" spans="1:7" ht="14.4" x14ac:dyDescent="0.3">
      <c r="A272" s="240">
        <v>39100</v>
      </c>
      <c r="B272" s="241" t="s">
        <v>442</v>
      </c>
      <c r="C272" s="4">
        <v>2628955.2122391304</v>
      </c>
      <c r="D272" s="4">
        <v>5929440.5419540033</v>
      </c>
      <c r="E272" s="4">
        <v>-117064.7022</v>
      </c>
      <c r="F272" s="4">
        <v>-484531.07290000003</v>
      </c>
      <c r="G272" s="221">
        <v>0</v>
      </c>
    </row>
    <row r="273" spans="1:7" ht="14.4" x14ac:dyDescent="0.3">
      <c r="A273" s="240">
        <v>39101</v>
      </c>
      <c r="B273" s="241" t="s">
        <v>443</v>
      </c>
      <c r="C273" s="4">
        <v>284614.39624313707</v>
      </c>
      <c r="D273" s="4">
        <v>804974.04018806957</v>
      </c>
      <c r="E273" s="4">
        <v>-17470.929</v>
      </c>
      <c r="F273" s="4">
        <v>-72312.215500000006</v>
      </c>
      <c r="G273" s="221">
        <v>0</v>
      </c>
    </row>
    <row r="274" spans="1:7" ht="14.4" x14ac:dyDescent="0.3">
      <c r="A274" s="240">
        <v>39105</v>
      </c>
      <c r="B274" s="241" t="s">
        <v>230</v>
      </c>
      <c r="C274" s="4">
        <v>991594.11236396013</v>
      </c>
      <c r="D274" s="4">
        <v>2483799.8754147114</v>
      </c>
      <c r="E274" s="4">
        <v>-46473.303</v>
      </c>
      <c r="F274" s="4">
        <v>-192353.1085</v>
      </c>
      <c r="G274" s="221">
        <v>0</v>
      </c>
    </row>
    <row r="275" spans="1:7" ht="14.4" x14ac:dyDescent="0.3">
      <c r="A275" s="240">
        <v>39200</v>
      </c>
      <c r="B275" s="241" t="s">
        <v>530</v>
      </c>
      <c r="C275" s="4">
        <v>68183993.862810254</v>
      </c>
      <c r="D275" s="4">
        <v>193739776.65446302</v>
      </c>
      <c r="E275" s="4">
        <v>-4248727.7375999996</v>
      </c>
      <c r="F275" s="4">
        <v>-17585493.9232</v>
      </c>
      <c r="G275" s="221">
        <v>0</v>
      </c>
    </row>
    <row r="276" spans="1:7" ht="14.4" x14ac:dyDescent="0.3">
      <c r="A276" s="240">
        <v>39201</v>
      </c>
      <c r="B276" s="241" t="s">
        <v>445</v>
      </c>
      <c r="C276" s="4">
        <v>377509.35000177298</v>
      </c>
      <c r="D276" s="4">
        <v>762363.04796458723</v>
      </c>
      <c r="E276" s="4">
        <v>-17957.461200000002</v>
      </c>
      <c r="F276" s="4">
        <v>-74325.973400000003</v>
      </c>
      <c r="G276" s="221">
        <v>0</v>
      </c>
    </row>
    <row r="277" spans="1:7" ht="14.4" x14ac:dyDescent="0.3">
      <c r="A277" s="240">
        <v>39204</v>
      </c>
      <c r="B277" s="241" t="s">
        <v>446</v>
      </c>
      <c r="C277" s="4">
        <v>-37395.818184251548</v>
      </c>
      <c r="D277" s="4">
        <v>283494.22127348708</v>
      </c>
      <c r="E277" s="4">
        <v>-13825.096800000001</v>
      </c>
      <c r="F277" s="4">
        <v>-57222.107600000003</v>
      </c>
      <c r="G277" s="221">
        <v>0</v>
      </c>
    </row>
    <row r="278" spans="1:7" ht="14.4" x14ac:dyDescent="0.3">
      <c r="A278" s="240">
        <v>39205</v>
      </c>
      <c r="B278" s="241" t="s">
        <v>231</v>
      </c>
      <c r="C278" s="4">
        <v>7079242.381614944</v>
      </c>
      <c r="D278" s="4">
        <v>18155637.645733088</v>
      </c>
      <c r="E278" s="4">
        <v>-373587.22500000003</v>
      </c>
      <c r="F278" s="4">
        <v>-1546278.3875</v>
      </c>
      <c r="G278" s="221">
        <v>0</v>
      </c>
    </row>
    <row r="279" spans="1:7" ht="14.4" x14ac:dyDescent="0.3">
      <c r="A279" s="240">
        <v>39208</v>
      </c>
      <c r="B279" s="241" t="s">
        <v>531</v>
      </c>
      <c r="C279" s="4">
        <v>381014.26329593122</v>
      </c>
      <c r="D279" s="4">
        <v>1159392.7819991652</v>
      </c>
      <c r="E279" s="4">
        <v>-26525.482800000002</v>
      </c>
      <c r="F279" s="4">
        <v>-109789.0346</v>
      </c>
      <c r="G279" s="221">
        <v>0</v>
      </c>
    </row>
    <row r="280" spans="1:7" ht="14.4" x14ac:dyDescent="0.3">
      <c r="A280" s="240">
        <v>39209</v>
      </c>
      <c r="B280" s="241" t="s">
        <v>448</v>
      </c>
      <c r="C280" s="4">
        <v>312569.25212674995</v>
      </c>
      <c r="D280" s="4">
        <v>0</v>
      </c>
      <c r="E280" s="4">
        <v>0</v>
      </c>
      <c r="F280" s="4">
        <v>0</v>
      </c>
      <c r="G280" s="221">
        <v>0</v>
      </c>
    </row>
    <row r="281" spans="1:7" ht="14.4" x14ac:dyDescent="0.3">
      <c r="A281" s="240">
        <v>39220</v>
      </c>
      <c r="B281" s="241" t="s">
        <v>449</v>
      </c>
      <c r="C281" s="4">
        <v>-154830.88527141447</v>
      </c>
      <c r="D281" s="4">
        <v>-179022.79344399995</v>
      </c>
      <c r="E281" s="4">
        <v>0</v>
      </c>
      <c r="F281" s="4">
        <v>0</v>
      </c>
      <c r="G281" s="221">
        <v>0</v>
      </c>
    </row>
    <row r="282" spans="1:7" ht="14.4" x14ac:dyDescent="0.3">
      <c r="A282" s="240">
        <v>39300</v>
      </c>
      <c r="B282" s="241" t="s">
        <v>450</v>
      </c>
      <c r="C282" s="4">
        <v>1304704.7270634389</v>
      </c>
      <c r="D282" s="4">
        <v>2651843.5961645017</v>
      </c>
      <c r="E282" s="4">
        <v>-49531.505400000002</v>
      </c>
      <c r="F282" s="4">
        <v>-205011.0153</v>
      </c>
      <c r="G282" s="221">
        <v>0</v>
      </c>
    </row>
    <row r="283" spans="1:7" ht="14.4" x14ac:dyDescent="0.3">
      <c r="A283" s="240">
        <v>39301</v>
      </c>
      <c r="B283" s="241" t="s">
        <v>451</v>
      </c>
      <c r="C283" s="4">
        <v>89386.314060885634</v>
      </c>
      <c r="D283" s="4">
        <v>179540.98692579209</v>
      </c>
      <c r="E283" s="4">
        <v>-3652.1508000000003</v>
      </c>
      <c r="F283" s="4">
        <v>-15116.260600000001</v>
      </c>
      <c r="G283" s="221">
        <v>0</v>
      </c>
    </row>
    <row r="284" spans="1:7" ht="14.4" x14ac:dyDescent="0.3">
      <c r="A284" s="240">
        <v>39400</v>
      </c>
      <c r="B284" s="241" t="s">
        <v>452</v>
      </c>
      <c r="C284" s="4">
        <v>623532.0806609951</v>
      </c>
      <c r="D284" s="4">
        <v>1462984.324007086</v>
      </c>
      <c r="E284" s="4">
        <v>-28446.337199999998</v>
      </c>
      <c r="F284" s="4">
        <v>-117739.45539999999</v>
      </c>
      <c r="G284" s="221">
        <v>0</v>
      </c>
    </row>
    <row r="285" spans="1:7" ht="14.4" x14ac:dyDescent="0.3">
      <c r="A285" s="240">
        <v>39401</v>
      </c>
      <c r="B285" s="241" t="s">
        <v>453</v>
      </c>
      <c r="C285" s="4">
        <v>559210.34905580105</v>
      </c>
      <c r="D285" s="4">
        <v>1687373.7923670136</v>
      </c>
      <c r="E285" s="4">
        <v>-35877.010800000004</v>
      </c>
      <c r="F285" s="4">
        <v>-148495.0306</v>
      </c>
      <c r="G285" s="221">
        <v>0</v>
      </c>
    </row>
    <row r="286" spans="1:7" ht="14.4" x14ac:dyDescent="0.3">
      <c r="A286" s="240">
        <v>39500</v>
      </c>
      <c r="B286" s="241" t="s">
        <v>454</v>
      </c>
      <c r="C286" s="4">
        <v>2288686.5384680247</v>
      </c>
      <c r="D286" s="4">
        <v>5742694.6955530029</v>
      </c>
      <c r="E286" s="4">
        <v>-138130.91459999999</v>
      </c>
      <c r="F286" s="4">
        <v>-571724.17469999997</v>
      </c>
      <c r="G286" s="221">
        <v>0</v>
      </c>
    </row>
    <row r="287" spans="1:7" ht="14.4" x14ac:dyDescent="0.3">
      <c r="A287" s="240">
        <v>39501</v>
      </c>
      <c r="B287" s="241" t="s">
        <v>455</v>
      </c>
      <c r="C287" s="4">
        <v>29952.565642621877</v>
      </c>
      <c r="D287" s="4">
        <v>112515.19812393191</v>
      </c>
      <c r="E287" s="4">
        <v>-3190.893</v>
      </c>
      <c r="F287" s="4">
        <v>-13207.113499999999</v>
      </c>
      <c r="G287" s="221">
        <v>0</v>
      </c>
    </row>
    <row r="288" spans="1:7" ht="14.4" x14ac:dyDescent="0.3">
      <c r="A288" s="240">
        <v>39600</v>
      </c>
      <c r="B288" s="241" t="s">
        <v>456</v>
      </c>
      <c r="C288" s="4">
        <v>6090304.7498899354</v>
      </c>
      <c r="D288" s="4">
        <v>16061609.825440466</v>
      </c>
      <c r="E288" s="4">
        <v>-356918.75820000004</v>
      </c>
      <c r="F288" s="4">
        <v>-1477287.5649000001</v>
      </c>
      <c r="G288" s="221">
        <v>0</v>
      </c>
    </row>
    <row r="289" spans="1:7" ht="14.4" x14ac:dyDescent="0.3">
      <c r="A289" s="240">
        <v>39605</v>
      </c>
      <c r="B289" s="241" t="s">
        <v>232</v>
      </c>
      <c r="C289" s="4">
        <v>505148.24829764524</v>
      </c>
      <c r="D289" s="4">
        <v>2064566.8965654506</v>
      </c>
      <c r="E289" s="4">
        <v>-51003.739199999996</v>
      </c>
      <c r="F289" s="4">
        <v>-211104.5944</v>
      </c>
      <c r="G289" s="221">
        <v>0</v>
      </c>
    </row>
    <row r="290" spans="1:7" ht="14.4" x14ac:dyDescent="0.3">
      <c r="A290" s="240">
        <v>39700</v>
      </c>
      <c r="B290" s="241" t="s">
        <v>457</v>
      </c>
      <c r="C290" s="4">
        <v>3320829.4544604034</v>
      </c>
      <c r="D290" s="4">
        <v>9270146.3992382605</v>
      </c>
      <c r="E290" s="4">
        <v>-208400.06519999998</v>
      </c>
      <c r="F290" s="4">
        <v>-862568.35139999993</v>
      </c>
      <c r="G290" s="221">
        <v>0</v>
      </c>
    </row>
    <row r="291" spans="1:7" ht="14.4" x14ac:dyDescent="0.3">
      <c r="A291" s="240">
        <v>39703</v>
      </c>
      <c r="B291" s="241" t="s">
        <v>458</v>
      </c>
      <c r="C291" s="4">
        <v>249863.47162852768</v>
      </c>
      <c r="D291" s="4">
        <v>749751.90367592557</v>
      </c>
      <c r="E291" s="4">
        <v>-16725.334199999998</v>
      </c>
      <c r="F291" s="4">
        <v>-69226.196899999995</v>
      </c>
      <c r="G291" s="221">
        <v>0</v>
      </c>
    </row>
    <row r="292" spans="1:7" ht="14.4" x14ac:dyDescent="0.3">
      <c r="A292" s="240">
        <v>39705</v>
      </c>
      <c r="B292" s="241" t="s">
        <v>234</v>
      </c>
      <c r="C292" s="4">
        <v>968704.4390833478</v>
      </c>
      <c r="D292" s="4">
        <v>2503215.8080733041</v>
      </c>
      <c r="E292" s="4">
        <v>-55218.2454</v>
      </c>
      <c r="F292" s="4">
        <v>-228548.44530000002</v>
      </c>
      <c r="G292" s="221">
        <v>0</v>
      </c>
    </row>
    <row r="293" spans="1:7" ht="14.4" x14ac:dyDescent="0.3">
      <c r="A293" s="240">
        <v>39800</v>
      </c>
      <c r="B293" s="241" t="s">
        <v>459</v>
      </c>
      <c r="C293" s="4">
        <v>3762982.3077619136</v>
      </c>
      <c r="D293" s="4">
        <v>10227304.223330112</v>
      </c>
      <c r="E293" s="4">
        <v>-227697.06960000002</v>
      </c>
      <c r="F293" s="4">
        <v>-942438.69720000005</v>
      </c>
      <c r="G293" s="221">
        <v>0</v>
      </c>
    </row>
    <row r="294" spans="1:7" ht="14.4" x14ac:dyDescent="0.3">
      <c r="A294" s="240">
        <v>39805</v>
      </c>
      <c r="B294" s="241" t="s">
        <v>235</v>
      </c>
      <c r="C294" s="4">
        <v>604492.95953440305</v>
      </c>
      <c r="D294" s="4">
        <v>1435762.6860190425</v>
      </c>
      <c r="E294" s="4">
        <v>-28724.355599999999</v>
      </c>
      <c r="F294" s="4">
        <v>-118890.17419999999</v>
      </c>
      <c r="G294" s="221">
        <v>0</v>
      </c>
    </row>
    <row r="295" spans="1:7" ht="14.4" x14ac:dyDescent="0.3">
      <c r="A295" s="240">
        <v>39900</v>
      </c>
      <c r="B295" s="241" t="s">
        <v>460</v>
      </c>
      <c r="C295" s="4">
        <v>2744121.6446977407</v>
      </c>
      <c r="D295" s="4">
        <v>5951678.7198899118</v>
      </c>
      <c r="E295" s="4">
        <v>-127130.23199999999</v>
      </c>
      <c r="F295" s="4">
        <v>-526192.32400000002</v>
      </c>
      <c r="G295" s="221">
        <v>0</v>
      </c>
    </row>
    <row r="296" spans="1:7" ht="14.4" x14ac:dyDescent="0.3">
      <c r="A296" s="240">
        <v>51000</v>
      </c>
      <c r="B296" s="241" t="s">
        <v>532</v>
      </c>
      <c r="C296" s="4">
        <v>47059757.213458218</v>
      </c>
      <c r="D296" s="4">
        <v>97484018.355448797</v>
      </c>
      <c r="E296" s="4">
        <v>-1828280.5914</v>
      </c>
      <c r="F296" s="4">
        <v>-7567257.5922999997</v>
      </c>
      <c r="G296" s="221">
        <v>0</v>
      </c>
    </row>
    <row r="297" spans="1:7" ht="14.4" x14ac:dyDescent="0.3">
      <c r="A297" s="240">
        <v>51000.2</v>
      </c>
      <c r="B297" s="241" t="s">
        <v>533</v>
      </c>
      <c r="C297" s="4">
        <v>168899.90810971172</v>
      </c>
      <c r="D297" s="4">
        <v>242894.43459508172</v>
      </c>
      <c r="E297" s="4">
        <v>-3184.5744</v>
      </c>
      <c r="F297" s="4">
        <v>-13180.960799999999</v>
      </c>
      <c r="G297" s="221">
        <v>0</v>
      </c>
    </row>
    <row r="298" spans="1:7" ht="14.4" x14ac:dyDescent="0.3">
      <c r="A298" s="240">
        <v>51000.3</v>
      </c>
      <c r="B298" s="241" t="s">
        <v>534</v>
      </c>
      <c r="C298" s="4">
        <v>1817727.4270575969</v>
      </c>
      <c r="D298" s="4">
        <v>3552612.1398671782</v>
      </c>
      <c r="E298" s="4">
        <v>-67299.408599999995</v>
      </c>
      <c r="F298" s="4">
        <v>-278552.40769999998</v>
      </c>
      <c r="G298" s="221">
        <v>0</v>
      </c>
    </row>
    <row r="299" spans="1:7" ht="14.4" x14ac:dyDescent="0.3">
      <c r="A299" s="200"/>
      <c r="C299" s="222"/>
      <c r="D299" s="222"/>
      <c r="E299" s="222"/>
      <c r="F299" s="222"/>
      <c r="G299" s="223"/>
    </row>
    <row r="300" spans="1:7" ht="14.4" x14ac:dyDescent="0.3">
      <c r="A300" s="200"/>
      <c r="C300" s="222"/>
      <c r="D300" s="222"/>
      <c r="E300" s="222"/>
      <c r="F300" s="222"/>
      <c r="G300" s="223"/>
    </row>
    <row r="301" spans="1:7" ht="14.4" x14ac:dyDescent="0.3">
      <c r="C301" s="222"/>
      <c r="D301" s="222"/>
      <c r="E301" s="222"/>
      <c r="F301" s="222"/>
      <c r="G301" s="223"/>
    </row>
    <row r="302" spans="1:7" x14ac:dyDescent="0.25">
      <c r="C302" s="221"/>
      <c r="D302" s="221"/>
      <c r="E302" s="221"/>
      <c r="F302" s="221"/>
      <c r="G302" s="221"/>
    </row>
    <row r="303" spans="1:7" ht="14.4" x14ac:dyDescent="0.3">
      <c r="C303" s="224">
        <f>SUM(C2:C302)</f>
        <v>1118080999.9999988</v>
      </c>
      <c r="D303" s="224">
        <f t="shared" ref="D303:G303" si="0">SUM(D2:D302)</f>
        <v>2941271999.9999976</v>
      </c>
      <c r="E303" s="224">
        <f t="shared" si="0"/>
        <v>-63186000.000000037</v>
      </c>
      <c r="F303" s="224">
        <f t="shared" si="0"/>
        <v>-261527000.00000003</v>
      </c>
      <c r="G303" s="224">
        <f t="shared" si="0"/>
        <v>0</v>
      </c>
    </row>
    <row r="304" spans="1:7" x14ac:dyDescent="0.25">
      <c r="C304" s="214"/>
      <c r="D304" s="214"/>
      <c r="E304" s="214"/>
      <c r="F304" s="214"/>
      <c r="G304" s="214">
        <v>0</v>
      </c>
    </row>
    <row r="305" spans="3:6" x14ac:dyDescent="0.25">
      <c r="C305" s="225">
        <f>C303-C304</f>
        <v>1118080999.9999988</v>
      </c>
      <c r="D305" s="225">
        <f t="shared" ref="D305:F305" si="1">D303-D304</f>
        <v>2941271999.9999976</v>
      </c>
      <c r="E305" s="225">
        <f t="shared" si="1"/>
        <v>-63186000.000000037</v>
      </c>
      <c r="F305" s="225">
        <f t="shared" si="1"/>
        <v>-261527000.00000003</v>
      </c>
    </row>
  </sheetData>
  <dataValidations count="2">
    <dataValidation type="whole" allowBlank="1" showInputMessage="1" showErrorMessage="1" errorTitle="whole numbers required" error="data should be entered as whole numbers" sqref="C299:G301" xr:uid="{9BD0E736-3C4F-4310-9301-3A9C2C49A331}">
      <formula1>0</formula1>
      <formula2>9.99999999999999E+41</formula2>
    </dataValidation>
    <dataValidation allowBlank="1" showInputMessage="1" showErrorMessage="1" errorTitle="whole numbers required" error="data should be entered as whole numbers" sqref="C4:G298" xr:uid="{24D16F1F-05F8-464D-9BF3-72225DB96080}"/>
  </dataValidations>
  <pageMargins left="0.7" right="0.7" top="0.75" bottom="0.75" header="0.3" footer="0.3"/>
  <pageSetup scale="9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67B566-4B4F-4933-8167-65D6C2AF38E3}">
  <dimension ref="A1:D84"/>
  <sheetViews>
    <sheetView workbookViewId="0">
      <selection activeCell="D83" sqref="D83"/>
    </sheetView>
  </sheetViews>
  <sheetFormatPr defaultRowHeight="13.2" x14ac:dyDescent="0.25"/>
  <cols>
    <col min="1" max="1" width="11.44140625" bestFit="1" customWidth="1"/>
    <col min="2" max="2" width="47.77734375" bestFit="1" customWidth="1"/>
    <col min="3" max="3" width="16.109375" style="6" bestFit="1" customWidth="1"/>
    <col min="4" max="4" width="14.109375" style="6" bestFit="1" customWidth="1"/>
  </cols>
  <sheetData>
    <row r="1" spans="1:4" ht="43.2" x14ac:dyDescent="0.3">
      <c r="A1" s="10" t="s">
        <v>143</v>
      </c>
      <c r="B1" s="10" t="s">
        <v>142</v>
      </c>
      <c r="C1" s="248" t="s">
        <v>141</v>
      </c>
      <c r="D1" s="248" t="s">
        <v>546</v>
      </c>
    </row>
    <row r="2" spans="1:4" x14ac:dyDescent="0.25">
      <c r="A2">
        <v>20100</v>
      </c>
      <c r="B2" s="2" t="s">
        <v>161</v>
      </c>
      <c r="C2" s="249">
        <f>VLOOKUP(A2,'68 - Summary Exhibit'!$A$3:$O$297,3,0)</f>
        <v>119508361</v>
      </c>
      <c r="D2" s="249">
        <f>VLOOKUP(A2,'68 - Summary Exhibit'!$A$3:$O$297,15,0)</f>
        <v>542246</v>
      </c>
    </row>
    <row r="3" spans="1:4" x14ac:dyDescent="0.25">
      <c r="A3">
        <v>20300</v>
      </c>
      <c r="B3" t="s">
        <v>162</v>
      </c>
      <c r="C3" s="249">
        <f>VLOOKUP(A3,'68 - Summary Exhibit'!$A$3:$O$297,3,0)</f>
        <v>202212095</v>
      </c>
      <c r="D3" s="249">
        <f>VLOOKUP(A3,'68 - Summary Exhibit'!$A$3:$O$297,15,0)</f>
        <v>2221244</v>
      </c>
    </row>
    <row r="4" spans="1:4" x14ac:dyDescent="0.25">
      <c r="A4">
        <v>20400</v>
      </c>
      <c r="B4" t="s">
        <v>163</v>
      </c>
      <c r="C4" s="249">
        <f>VLOOKUP(A4,'68 - Summary Exhibit'!$A$3:$O$297,3,0)</f>
        <v>17268838</v>
      </c>
      <c r="D4" s="249">
        <f>VLOOKUP(A4,'68 - Summary Exhibit'!$A$3:$O$297,15,0)</f>
        <v>51049</v>
      </c>
    </row>
    <row r="5" spans="1:4" x14ac:dyDescent="0.25">
      <c r="A5">
        <v>20600</v>
      </c>
      <c r="B5" t="s">
        <v>3</v>
      </c>
      <c r="C5" s="249">
        <f>VLOOKUP(A5,'68 - Summary Exhibit'!$A$3:$O$297,3,0)</f>
        <v>36041569</v>
      </c>
      <c r="D5" s="249">
        <f>VLOOKUP(A5,'68 - Summary Exhibit'!$A$3:$O$297,15,0)</f>
        <v>106544</v>
      </c>
    </row>
    <row r="6" spans="1:4" x14ac:dyDescent="0.25">
      <c r="A6">
        <v>20800</v>
      </c>
      <c r="B6" t="s">
        <v>164</v>
      </c>
      <c r="C6" s="249">
        <f>VLOOKUP(A6,'68 - Summary Exhibit'!$A$3:$O$297,3,0)</f>
        <v>47530421</v>
      </c>
      <c r="D6" s="249">
        <f>VLOOKUP(A6,'68 - Summary Exhibit'!$A$3:$O$297,15,0)</f>
        <v>451590</v>
      </c>
    </row>
    <row r="7" spans="1:4" x14ac:dyDescent="0.25">
      <c r="A7">
        <v>10950</v>
      </c>
      <c r="B7" t="s">
        <v>165</v>
      </c>
      <c r="C7" s="249">
        <f>VLOOKUP(A7,'68 - Summary Exhibit'!$A$3:$O$297,3,0)</f>
        <v>15579737</v>
      </c>
      <c r="D7" s="249">
        <f>VLOOKUP(A7,'68 - Summary Exhibit'!$A$3:$O$297,15,0)</f>
        <v>46056</v>
      </c>
    </row>
    <row r="8" spans="1:4" x14ac:dyDescent="0.25">
      <c r="A8">
        <v>20200</v>
      </c>
      <c r="B8" t="s">
        <v>166</v>
      </c>
      <c r="C8" s="249">
        <f>VLOOKUP(A8,'68 - Summary Exhibit'!$A$3:$O$297,3,0)</f>
        <v>15280440</v>
      </c>
      <c r="D8" s="249">
        <f>VLOOKUP(A8,'68 - Summary Exhibit'!$A$3:$O$297,15,0)</f>
        <v>45171</v>
      </c>
    </row>
    <row r="9" spans="1:4" x14ac:dyDescent="0.25">
      <c r="A9">
        <v>21300</v>
      </c>
      <c r="B9" t="s">
        <v>167</v>
      </c>
      <c r="C9" s="249">
        <f>VLOOKUP(A9,'68 - Summary Exhibit'!$A$3:$O$297,3,0)</f>
        <v>341216241</v>
      </c>
      <c r="D9" s="249">
        <f>VLOOKUP(A9,'68 - Summary Exhibit'!$A$3:$O$297,15,0)</f>
        <v>2970595</v>
      </c>
    </row>
    <row r="10" spans="1:4" x14ac:dyDescent="0.25">
      <c r="A10">
        <v>20700</v>
      </c>
      <c r="B10" t="s">
        <v>168</v>
      </c>
      <c r="C10" s="249">
        <f>VLOOKUP(A10,'68 - Summary Exhibit'!$A$3:$O$297,3,0)</f>
        <v>63883589</v>
      </c>
      <c r="D10" s="249">
        <f>VLOOKUP(A10,'68 - Summary Exhibit'!$A$3:$O$297,15,0)</f>
        <v>524305</v>
      </c>
    </row>
    <row r="11" spans="1:4" x14ac:dyDescent="0.25">
      <c r="A11">
        <v>21200</v>
      </c>
      <c r="B11" t="s">
        <v>169</v>
      </c>
      <c r="C11" s="249">
        <f>VLOOKUP(A11,'68 - Summary Exhibit'!$A$3:$O$297,3,0)</f>
        <v>30046741</v>
      </c>
      <c r="D11" s="249">
        <f>VLOOKUP(A11,'68 - Summary Exhibit'!$A$3:$O$297,15,0)</f>
        <v>284783</v>
      </c>
    </row>
    <row r="12" spans="1:4" x14ac:dyDescent="0.25">
      <c r="A12">
        <v>21550</v>
      </c>
      <c r="B12" t="s">
        <v>170</v>
      </c>
      <c r="C12" s="249">
        <f>VLOOKUP(A12,'68 - Summary Exhibit'!$A$3:$O$297,3,0)</f>
        <v>571059958</v>
      </c>
      <c r="D12" s="249">
        <f>VLOOKUP(A12,'68 - Summary Exhibit'!$A$3:$O$297,15,0)</f>
        <v>13595656</v>
      </c>
    </row>
    <row r="13" spans="1:4" x14ac:dyDescent="0.25">
      <c r="A13">
        <v>21520</v>
      </c>
      <c r="B13" t="s">
        <v>171</v>
      </c>
      <c r="C13" s="249">
        <f>VLOOKUP(A13,'68 - Summary Exhibit'!$A$3:$O$297,3,0)</f>
        <v>513633478</v>
      </c>
      <c r="D13" s="249">
        <f>VLOOKUP(A13,'68 - Summary Exhibit'!$A$3:$O$297,15,0)</f>
        <v>4752917</v>
      </c>
    </row>
    <row r="14" spans="1:4" x14ac:dyDescent="0.25">
      <c r="A14">
        <v>23000</v>
      </c>
      <c r="B14" t="s">
        <v>172</v>
      </c>
      <c r="C14" s="249">
        <f>VLOOKUP(A14,'68 - Summary Exhibit'!$A$3:$O$297,3,0)</f>
        <v>18307487</v>
      </c>
      <c r="D14" s="249">
        <f>VLOOKUP(A14,'68 - Summary Exhibit'!$A$3:$O$297,15,0)</f>
        <v>201288</v>
      </c>
    </row>
    <row r="15" spans="1:4" x14ac:dyDescent="0.25">
      <c r="A15">
        <v>23100</v>
      </c>
      <c r="B15" t="s">
        <v>173</v>
      </c>
      <c r="C15" s="249">
        <f>VLOOKUP(A15,'68 - Summary Exhibit'!$A$3:$O$297,3,0)</f>
        <v>115153740</v>
      </c>
      <c r="D15" s="249">
        <f>VLOOKUP(A15,'68 - Summary Exhibit'!$A$3:$O$297,15,0)</f>
        <v>1230618</v>
      </c>
    </row>
    <row r="16" spans="1:4" x14ac:dyDescent="0.25">
      <c r="A16">
        <v>20900</v>
      </c>
      <c r="B16" t="s">
        <v>174</v>
      </c>
      <c r="C16" s="249">
        <f>VLOOKUP(A16,'68 - Summary Exhibit'!$A$3:$O$297,3,0)</f>
        <v>72625429</v>
      </c>
      <c r="D16" s="249">
        <f>VLOOKUP(A16,'68 - Summary Exhibit'!$A$3:$O$297,15,0)</f>
        <v>1589100</v>
      </c>
    </row>
    <row r="17" spans="1:4" x14ac:dyDescent="0.25">
      <c r="A17">
        <v>23200</v>
      </c>
      <c r="B17" t="s">
        <v>175</v>
      </c>
      <c r="C17" s="249">
        <f>VLOOKUP(A17,'68 - Summary Exhibit'!$A$3:$O$297,3,0)</f>
        <v>71900893</v>
      </c>
      <c r="D17" s="249">
        <f>VLOOKUP(A17,'68 - Summary Exhibit'!$A$3:$O$297,15,0)</f>
        <v>212548</v>
      </c>
    </row>
    <row r="18" spans="1:4" x14ac:dyDescent="0.25">
      <c r="A18">
        <v>21800</v>
      </c>
      <c r="B18" t="s">
        <v>176</v>
      </c>
      <c r="C18" s="249">
        <f>VLOOKUP(A18,'68 - Summary Exhibit'!$A$3:$O$297,3,0)</f>
        <v>54611312</v>
      </c>
      <c r="D18" s="249">
        <f>VLOOKUP(A18,'68 - Summary Exhibit'!$A$3:$O$297,15,0)</f>
        <v>219640</v>
      </c>
    </row>
    <row r="19" spans="1:4" x14ac:dyDescent="0.25">
      <c r="A19">
        <v>21900</v>
      </c>
      <c r="B19" t="s">
        <v>177</v>
      </c>
      <c r="C19" s="249">
        <f>VLOOKUP(A19,'68 - Summary Exhibit'!$A$3:$O$297,3,0)</f>
        <v>25093526</v>
      </c>
      <c r="D19" s="249">
        <f>VLOOKUP(A19,'68 - Summary Exhibit'!$A$3:$O$297,15,0)</f>
        <v>273216</v>
      </c>
    </row>
    <row r="20" spans="1:4" x14ac:dyDescent="0.25">
      <c r="A20">
        <v>30105</v>
      </c>
      <c r="B20" t="s">
        <v>178</v>
      </c>
      <c r="C20" s="249">
        <f>VLOOKUP(A20,'68 - Summary Exhibit'!$A$3:$O$297,3,0)</f>
        <v>12248948</v>
      </c>
      <c r="D20" s="249">
        <f>VLOOKUP(A20,'68 - Summary Exhibit'!$A$3:$O$297,15,0)</f>
        <v>46466</v>
      </c>
    </row>
    <row r="21" spans="1:4" x14ac:dyDescent="0.25">
      <c r="A21">
        <v>31105</v>
      </c>
      <c r="B21" t="s">
        <v>179</v>
      </c>
      <c r="C21" s="249">
        <f>VLOOKUP(A21,'68 - Summary Exhibit'!$A$3:$O$297,3,0)</f>
        <v>23054751</v>
      </c>
      <c r="D21" s="249">
        <f>VLOOKUP(A21,'68 - Summary Exhibit'!$A$3:$O$297,15,0)</f>
        <v>106841</v>
      </c>
    </row>
    <row r="22" spans="1:4" x14ac:dyDescent="0.25">
      <c r="A22">
        <v>30705</v>
      </c>
      <c r="B22" t="s">
        <v>180</v>
      </c>
      <c r="C22" s="249">
        <f>VLOOKUP(A22,'68 - Summary Exhibit'!$A$3:$O$297,3,0)</f>
        <v>7926923</v>
      </c>
      <c r="D22" s="249">
        <f>VLOOKUP(A22,'68 - Summary Exhibit'!$A$3:$O$297,15,0)</f>
        <v>34151</v>
      </c>
    </row>
    <row r="23" spans="1:4" x14ac:dyDescent="0.25">
      <c r="A23">
        <v>30905</v>
      </c>
      <c r="B23" t="s">
        <v>181</v>
      </c>
      <c r="C23" s="249">
        <f>VLOOKUP(A23,'68 - Summary Exhibit'!$A$3:$O$297,3,0)</f>
        <v>4686515</v>
      </c>
      <c r="D23" s="249">
        <f>VLOOKUP(A23,'68 - Summary Exhibit'!$A$3:$O$297,15,0)</f>
        <v>13854</v>
      </c>
    </row>
    <row r="24" spans="1:4" x14ac:dyDescent="0.25">
      <c r="A24">
        <v>34505</v>
      </c>
      <c r="B24" t="s">
        <v>182</v>
      </c>
      <c r="C24" s="249">
        <f>VLOOKUP(A24,'68 - Summary Exhibit'!$A$3:$O$297,3,0)</f>
        <v>11637019</v>
      </c>
      <c r="D24" s="249">
        <f>VLOOKUP(A24,'68 - Summary Exhibit'!$A$3:$O$297,15,0)</f>
        <v>34401</v>
      </c>
    </row>
    <row r="25" spans="1:4" x14ac:dyDescent="0.25">
      <c r="A25">
        <v>31005</v>
      </c>
      <c r="B25" t="s">
        <v>183</v>
      </c>
      <c r="C25" s="249">
        <f>VLOOKUP(A25,'68 - Summary Exhibit'!$A$3:$O$297,3,0)</f>
        <v>7458716</v>
      </c>
      <c r="D25" s="249">
        <f>VLOOKUP(A25,'68 - Summary Exhibit'!$A$3:$O$297,15,0)</f>
        <v>22049</v>
      </c>
    </row>
    <row r="26" spans="1:4" x14ac:dyDescent="0.25">
      <c r="A26">
        <v>31405</v>
      </c>
      <c r="B26" t="s">
        <v>184</v>
      </c>
      <c r="C26" s="249">
        <f>VLOOKUP(A26,'68 - Summary Exhibit'!$A$3:$O$297,3,0)</f>
        <v>14520344</v>
      </c>
      <c r="D26" s="249">
        <f>VLOOKUP(A26,'68 - Summary Exhibit'!$A$3:$O$297,15,0)</f>
        <v>42924</v>
      </c>
    </row>
    <row r="27" spans="1:4" x14ac:dyDescent="0.25">
      <c r="A27">
        <v>36505</v>
      </c>
      <c r="B27" t="s">
        <v>185</v>
      </c>
      <c r="C27" s="249">
        <f>VLOOKUP(A27,'68 - Summary Exhibit'!$A$3:$O$297,3,0)</f>
        <v>31799554</v>
      </c>
      <c r="D27" s="249">
        <f>VLOOKUP(A27,'68 - Summary Exhibit'!$A$3:$O$297,15,0)</f>
        <v>121826</v>
      </c>
    </row>
    <row r="28" spans="1:4" x14ac:dyDescent="0.25">
      <c r="A28">
        <v>31605</v>
      </c>
      <c r="B28" t="s">
        <v>186</v>
      </c>
      <c r="C28" s="249">
        <f>VLOOKUP(A28,'68 - Summary Exhibit'!$A$3:$O$297,3,0)</f>
        <v>7760976</v>
      </c>
      <c r="D28" s="249">
        <f>VLOOKUP(A28,'68 - Summary Exhibit'!$A$3:$O$297,15,0)</f>
        <v>22942</v>
      </c>
    </row>
    <row r="29" spans="1:4" x14ac:dyDescent="0.25">
      <c r="A29">
        <v>31805</v>
      </c>
      <c r="B29" t="s">
        <v>187</v>
      </c>
      <c r="C29" s="249">
        <f>VLOOKUP(A29,'68 - Summary Exhibit'!$A$3:$O$297,3,0)</f>
        <v>16585789</v>
      </c>
      <c r="D29" s="249">
        <f>VLOOKUP(A29,'68 - Summary Exhibit'!$A$3:$O$297,15,0)</f>
        <v>968120</v>
      </c>
    </row>
    <row r="30" spans="1:4" x14ac:dyDescent="0.25">
      <c r="A30">
        <v>35305</v>
      </c>
      <c r="B30" t="s">
        <v>188</v>
      </c>
      <c r="C30" s="249">
        <f>VLOOKUP(A30,'68 - Summary Exhibit'!$A$3:$O$297,3,0)</f>
        <v>21135991</v>
      </c>
      <c r="D30" s="249">
        <f>VLOOKUP(A30,'68 - Summary Exhibit'!$A$3:$O$297,15,0)</f>
        <v>635351</v>
      </c>
    </row>
    <row r="31" spans="1:4" x14ac:dyDescent="0.25">
      <c r="A31">
        <v>36005</v>
      </c>
      <c r="B31" t="s">
        <v>189</v>
      </c>
      <c r="C31" s="249">
        <f>VLOOKUP(A31,'68 - Summary Exhibit'!$A$3:$O$297,3,0)</f>
        <v>64129546</v>
      </c>
      <c r="D31" s="249">
        <f>VLOOKUP(A31,'68 - Summary Exhibit'!$A$3:$O$297,15,0)</f>
        <v>1110955</v>
      </c>
    </row>
    <row r="32" spans="1:4" x14ac:dyDescent="0.25">
      <c r="A32">
        <v>32305</v>
      </c>
      <c r="B32" t="s">
        <v>190</v>
      </c>
      <c r="C32" s="249">
        <f>VLOOKUP(A32,'68 - Summary Exhibit'!$A$3:$O$297,3,0)</f>
        <v>10545030</v>
      </c>
      <c r="D32" s="249">
        <f>VLOOKUP(A32,'68 - Summary Exhibit'!$A$3:$O$297,15,0)</f>
        <v>31172</v>
      </c>
    </row>
    <row r="33" spans="1:4" x14ac:dyDescent="0.25">
      <c r="A33">
        <v>36705</v>
      </c>
      <c r="B33" t="s">
        <v>191</v>
      </c>
      <c r="C33" s="249">
        <f>VLOOKUP(A33,'68 - Summary Exhibit'!$A$3:$O$297,3,0)</f>
        <v>13377979</v>
      </c>
      <c r="D33" s="249">
        <f>VLOOKUP(A33,'68 - Summary Exhibit'!$A$3:$O$297,15,0)</f>
        <v>876951</v>
      </c>
    </row>
    <row r="34" spans="1:4" x14ac:dyDescent="0.25">
      <c r="A34">
        <v>37005</v>
      </c>
      <c r="B34" t="s">
        <v>192</v>
      </c>
      <c r="C34" s="249">
        <f>VLOOKUP(A34,'68 - Summary Exhibit'!$A$3:$O$297,3,0)</f>
        <v>9054472</v>
      </c>
      <c r="D34" s="249">
        <f>VLOOKUP(A34,'68 - Summary Exhibit'!$A$3:$O$297,15,0)</f>
        <v>26766</v>
      </c>
    </row>
    <row r="35" spans="1:4" x14ac:dyDescent="0.25">
      <c r="A35">
        <v>32505</v>
      </c>
      <c r="B35" t="s">
        <v>193</v>
      </c>
      <c r="C35" s="249">
        <f>VLOOKUP(A35,'68 - Summary Exhibit'!$A$3:$O$297,3,0)</f>
        <v>11620721</v>
      </c>
      <c r="D35" s="249">
        <f>VLOOKUP(A35,'68 - Summary Exhibit'!$A$3:$O$297,15,0)</f>
        <v>34352</v>
      </c>
    </row>
    <row r="36" spans="1:4" x14ac:dyDescent="0.25">
      <c r="A36">
        <v>32905</v>
      </c>
      <c r="B36" t="s">
        <v>194</v>
      </c>
      <c r="C36" s="249">
        <f>VLOOKUP(A36,'68 - Summary Exhibit'!$A$3:$O$297,3,0)</f>
        <v>13074237</v>
      </c>
      <c r="D36" s="249">
        <f>VLOOKUP(A36,'68 - Summary Exhibit'!$A$3:$O$297,15,0)</f>
        <v>38649</v>
      </c>
    </row>
    <row r="37" spans="1:4" x14ac:dyDescent="0.25">
      <c r="A37">
        <v>33205</v>
      </c>
      <c r="B37" t="s">
        <v>195</v>
      </c>
      <c r="C37" s="249">
        <f>VLOOKUP(A37,'68 - Summary Exhibit'!$A$3:$O$297,3,0)</f>
        <v>20577402</v>
      </c>
      <c r="D37" s="249">
        <f>VLOOKUP(A37,'68 - Summary Exhibit'!$A$3:$O$297,15,0)</f>
        <v>60829</v>
      </c>
    </row>
    <row r="38" spans="1:4" x14ac:dyDescent="0.25">
      <c r="A38">
        <v>33305</v>
      </c>
      <c r="B38" t="s">
        <v>196</v>
      </c>
      <c r="C38" s="249">
        <f>VLOOKUP(A38,'68 - Summary Exhibit'!$A$3:$O$297,3,0)</f>
        <v>6949022</v>
      </c>
      <c r="D38" s="249">
        <f>VLOOKUP(A38,'68 - Summary Exhibit'!$A$3:$O$297,15,0)</f>
        <v>20542</v>
      </c>
    </row>
    <row r="39" spans="1:4" x14ac:dyDescent="0.25">
      <c r="A39">
        <v>32605</v>
      </c>
      <c r="B39" t="s">
        <v>197</v>
      </c>
      <c r="C39" s="249">
        <f>VLOOKUP(A39,'68 - Summary Exhibit'!$A$3:$O$297,3,0)</f>
        <v>43258773</v>
      </c>
      <c r="D39" s="249">
        <f>VLOOKUP(A39,'68 - Summary Exhibit'!$A$3:$O$297,15,0)</f>
        <v>1078196</v>
      </c>
    </row>
    <row r="40" spans="1:4" x14ac:dyDescent="0.25">
      <c r="A40">
        <v>33405</v>
      </c>
      <c r="B40" t="s">
        <v>198</v>
      </c>
      <c r="C40" s="249">
        <f>VLOOKUP(A40,'68 - Summary Exhibit'!$A$3:$O$297,3,0)</f>
        <v>30429012</v>
      </c>
      <c r="D40" s="249">
        <f>VLOOKUP(A40,'68 - Summary Exhibit'!$A$3:$O$297,15,0)</f>
        <v>176274</v>
      </c>
    </row>
    <row r="41" spans="1:4" x14ac:dyDescent="0.25">
      <c r="A41">
        <v>33605</v>
      </c>
      <c r="B41" t="s">
        <v>199</v>
      </c>
      <c r="C41" s="249">
        <f>VLOOKUP(A41,'68 - Summary Exhibit'!$A$3:$O$297,3,0)</f>
        <v>19950657</v>
      </c>
      <c r="D41" s="249">
        <f>VLOOKUP(A41,'68 - Summary Exhibit'!$A$3:$O$297,15,0)</f>
        <v>58977</v>
      </c>
    </row>
    <row r="42" spans="1:4" x14ac:dyDescent="0.25">
      <c r="A42">
        <v>34105</v>
      </c>
      <c r="B42" t="s">
        <v>200</v>
      </c>
      <c r="C42" s="249">
        <f>VLOOKUP(A42,'68 - Summary Exhibit'!$A$3:$O$297,3,0)</f>
        <v>32316656</v>
      </c>
      <c r="D42" s="249">
        <f>VLOOKUP(A42,'68 - Summary Exhibit'!$A$3:$O$297,15,0)</f>
        <v>160731</v>
      </c>
    </row>
    <row r="43" spans="1:4" x14ac:dyDescent="0.25">
      <c r="A43">
        <v>34205</v>
      </c>
      <c r="B43" t="s">
        <v>201</v>
      </c>
      <c r="C43" s="249">
        <f>VLOOKUP(A43,'68 - Summary Exhibit'!$A$3:$O$297,3,0)</f>
        <v>4298318</v>
      </c>
      <c r="D43" s="249">
        <f>VLOOKUP(A43,'68 - Summary Exhibit'!$A$3:$O$297,15,0)</f>
        <v>439104</v>
      </c>
    </row>
    <row r="44" spans="1:4" x14ac:dyDescent="0.25">
      <c r="A44">
        <v>34405</v>
      </c>
      <c r="B44" t="s">
        <v>202</v>
      </c>
      <c r="C44" s="249">
        <f>VLOOKUP(A44,'68 - Summary Exhibit'!$A$3:$O$297,3,0)</f>
        <v>6694175</v>
      </c>
      <c r="D44" s="249">
        <f>VLOOKUP(A44,'68 - Summary Exhibit'!$A$3:$O$297,15,0)</f>
        <v>429863</v>
      </c>
    </row>
    <row r="45" spans="1:4" x14ac:dyDescent="0.25">
      <c r="A45">
        <v>38105</v>
      </c>
      <c r="B45" t="s">
        <v>203</v>
      </c>
      <c r="C45" s="249">
        <f>VLOOKUP(A45,'68 - Summary Exhibit'!$A$3:$O$297,3,0)</f>
        <v>8241036</v>
      </c>
      <c r="D45" s="249">
        <f>VLOOKUP(A45,'68 - Summary Exhibit'!$A$3:$O$297,15,0)</f>
        <v>234953</v>
      </c>
    </row>
    <row r="46" spans="1:4" x14ac:dyDescent="0.25">
      <c r="A46">
        <v>33105</v>
      </c>
      <c r="B46" t="s">
        <v>204</v>
      </c>
      <c r="C46" s="249">
        <f>VLOOKUP(A46,'68 - Summary Exhibit'!$A$3:$O$297,3,0)</f>
        <v>5843698</v>
      </c>
      <c r="D46" s="249">
        <f>VLOOKUP(A46,'68 - Summary Exhibit'!$A$3:$O$297,15,0)</f>
        <v>194709</v>
      </c>
    </row>
    <row r="47" spans="1:4" x14ac:dyDescent="0.25">
      <c r="A47">
        <v>35105</v>
      </c>
      <c r="B47" t="s">
        <v>205</v>
      </c>
      <c r="C47" s="249">
        <f>VLOOKUP(A47,'68 - Summary Exhibit'!$A$3:$O$297,3,0)</f>
        <v>17443675</v>
      </c>
      <c r="D47" s="249">
        <f>VLOOKUP(A47,'68 - Summary Exhibit'!$A$3:$O$297,15,0)</f>
        <v>285732</v>
      </c>
    </row>
    <row r="48" spans="1:4" x14ac:dyDescent="0.25">
      <c r="A48">
        <v>35405</v>
      </c>
      <c r="B48" t="s">
        <v>206</v>
      </c>
      <c r="C48" s="249">
        <f>VLOOKUP(A48,'68 - Summary Exhibit'!$A$3:$O$297,3,0)</f>
        <v>12174864</v>
      </c>
      <c r="D48" s="249">
        <f>VLOOKUP(A48,'68 - Summary Exhibit'!$A$3:$O$297,15,0)</f>
        <v>545345</v>
      </c>
    </row>
    <row r="49" spans="1:4" x14ac:dyDescent="0.25">
      <c r="A49">
        <v>35805</v>
      </c>
      <c r="B49" t="s">
        <v>207</v>
      </c>
      <c r="C49" s="249">
        <f>VLOOKUP(A49,'68 - Summary Exhibit'!$A$3:$O$297,3,0)</f>
        <v>3496736</v>
      </c>
      <c r="D49" s="249">
        <f>VLOOKUP(A49,'68 - Summary Exhibit'!$A$3:$O$297,15,0)</f>
        <v>11896</v>
      </c>
    </row>
    <row r="50" spans="1:4" x14ac:dyDescent="0.25">
      <c r="A50">
        <v>36105</v>
      </c>
      <c r="B50" t="s">
        <v>208</v>
      </c>
      <c r="C50" s="249">
        <f>VLOOKUP(A50,'68 - Summary Exhibit'!$A$3:$O$297,3,0)</f>
        <v>4433150</v>
      </c>
      <c r="D50" s="249">
        <f>VLOOKUP(A50,'68 - Summary Exhibit'!$A$3:$O$297,15,0)</f>
        <v>128417</v>
      </c>
    </row>
    <row r="51" spans="1:4" x14ac:dyDescent="0.25">
      <c r="A51">
        <v>35905</v>
      </c>
      <c r="B51" t="s">
        <v>209</v>
      </c>
      <c r="C51" s="249">
        <f>VLOOKUP(A51,'68 - Summary Exhibit'!$A$3:$O$297,3,0)</f>
        <v>5117681</v>
      </c>
      <c r="D51" s="249">
        <f>VLOOKUP(A51,'68 - Summary Exhibit'!$A$3:$O$297,15,0)</f>
        <v>15129</v>
      </c>
    </row>
    <row r="52" spans="1:4" x14ac:dyDescent="0.25">
      <c r="A52">
        <v>34905</v>
      </c>
      <c r="B52" t="s">
        <v>210</v>
      </c>
      <c r="C52" s="249">
        <f>VLOOKUP(A52,'68 - Summary Exhibit'!$A$3:$O$297,3,0)</f>
        <v>9251534</v>
      </c>
      <c r="D52" s="249">
        <f>VLOOKUP(A52,'68 - Summary Exhibit'!$A$3:$O$297,15,0)</f>
        <v>195235</v>
      </c>
    </row>
    <row r="53" spans="1:4" x14ac:dyDescent="0.25">
      <c r="A53">
        <v>36205</v>
      </c>
      <c r="B53" t="s">
        <v>211</v>
      </c>
      <c r="C53" s="249">
        <f>VLOOKUP(A53,'68 - Summary Exhibit'!$A$3:$O$297,3,0)</f>
        <v>4542793</v>
      </c>
      <c r="D53" s="249">
        <f>VLOOKUP(A53,'68 - Summary Exhibit'!$A$3:$O$297,15,0)</f>
        <v>78957</v>
      </c>
    </row>
    <row r="54" spans="1:4" x14ac:dyDescent="0.25">
      <c r="A54">
        <v>36405</v>
      </c>
      <c r="B54" t="s">
        <v>212</v>
      </c>
      <c r="C54" s="249">
        <f>VLOOKUP(A54,'68 - Summary Exhibit'!$A$3:$O$297,3,0)</f>
        <v>9784934</v>
      </c>
      <c r="D54" s="249">
        <f>VLOOKUP(A54,'68 - Summary Exhibit'!$A$3:$O$297,15,0)</f>
        <v>542105</v>
      </c>
    </row>
    <row r="55" spans="1:4" x14ac:dyDescent="0.25">
      <c r="A55">
        <v>36905</v>
      </c>
      <c r="B55" t="s">
        <v>213</v>
      </c>
      <c r="C55" s="249">
        <f>VLOOKUP(A55,'68 - Summary Exhibit'!$A$3:$O$297,3,0)</f>
        <v>2665520</v>
      </c>
      <c r="D55" s="249">
        <f>VLOOKUP(A55,'68 - Summary Exhibit'!$A$3:$O$297,15,0)</f>
        <v>127538</v>
      </c>
    </row>
    <row r="56" spans="1:4" x14ac:dyDescent="0.25">
      <c r="A56">
        <v>37305</v>
      </c>
      <c r="B56" t="s">
        <v>214</v>
      </c>
      <c r="C56" s="249">
        <f>VLOOKUP(A56,'68 - Summary Exhibit'!$A$3:$O$297,3,0)</f>
        <v>6274863</v>
      </c>
      <c r="D56" s="249">
        <f>VLOOKUP(A56,'68 - Summary Exhibit'!$A$3:$O$297,15,0)</f>
        <v>89388</v>
      </c>
    </row>
    <row r="57" spans="1:4" x14ac:dyDescent="0.25">
      <c r="A57">
        <v>37405</v>
      </c>
      <c r="B57" t="s">
        <v>215</v>
      </c>
      <c r="C57" s="249">
        <f>VLOOKUP(A57,'68 - Summary Exhibit'!$A$3:$O$297,3,0)</f>
        <v>24211934</v>
      </c>
      <c r="D57" s="249">
        <f>VLOOKUP(A57,'68 - Summary Exhibit'!$A$3:$O$297,15,0)</f>
        <v>668281</v>
      </c>
    </row>
    <row r="58" spans="1:4" x14ac:dyDescent="0.25">
      <c r="A58">
        <v>37605</v>
      </c>
      <c r="B58" t="s">
        <v>216</v>
      </c>
      <c r="C58" s="249">
        <f>VLOOKUP(A58,'68 - Summary Exhibit'!$A$3:$O$297,3,0)</f>
        <v>9996813</v>
      </c>
      <c r="D58" s="249">
        <f>VLOOKUP(A58,'68 - Summary Exhibit'!$A$3:$O$297,15,0)</f>
        <v>114291</v>
      </c>
    </row>
    <row r="59" spans="1:4" x14ac:dyDescent="0.25">
      <c r="A59">
        <v>37705</v>
      </c>
      <c r="B59" t="s">
        <v>217</v>
      </c>
      <c r="C59" s="249">
        <f>VLOOKUP(A59,'68 - Summary Exhibit'!$A$3:$O$297,3,0)</f>
        <v>10681343</v>
      </c>
      <c r="D59" s="249">
        <f>VLOOKUP(A59,'68 - Summary Exhibit'!$A$3:$O$297,15,0)</f>
        <v>125134</v>
      </c>
    </row>
    <row r="60" spans="1:4" x14ac:dyDescent="0.25">
      <c r="A60">
        <v>34605</v>
      </c>
      <c r="B60" t="s">
        <v>218</v>
      </c>
      <c r="C60" s="249">
        <f>VLOOKUP(A60,'68 - Summary Exhibit'!$A$3:$O$297,3,0)</f>
        <v>3064089</v>
      </c>
      <c r="D60" s="249">
        <f>VLOOKUP(A60,'68 - Summary Exhibit'!$A$3:$O$297,15,0)</f>
        <v>9058</v>
      </c>
    </row>
    <row r="61" spans="1:4" x14ac:dyDescent="0.25">
      <c r="A61">
        <v>37805</v>
      </c>
      <c r="B61" t="s">
        <v>219</v>
      </c>
      <c r="C61" s="249">
        <f>VLOOKUP(A61,'68 - Summary Exhibit'!$A$3:$O$297,3,0)</f>
        <v>9287094</v>
      </c>
      <c r="D61" s="249">
        <f>VLOOKUP(A61,'68 - Summary Exhibit'!$A$3:$O$297,15,0)</f>
        <v>27454</v>
      </c>
    </row>
    <row r="62" spans="1:4" x14ac:dyDescent="0.25">
      <c r="A62">
        <v>37905</v>
      </c>
      <c r="B62" t="s">
        <v>220</v>
      </c>
      <c r="C62" s="249">
        <f>VLOOKUP(A62,'68 - Summary Exhibit'!$A$3:$O$297,3,0)</f>
        <v>6503040</v>
      </c>
      <c r="D62" s="249">
        <f>VLOOKUP(A62,'68 - Summary Exhibit'!$A$3:$O$297,15,0)</f>
        <v>26033</v>
      </c>
    </row>
    <row r="63" spans="1:4" x14ac:dyDescent="0.25">
      <c r="A63">
        <v>38005</v>
      </c>
      <c r="B63" t="s">
        <v>221</v>
      </c>
      <c r="C63" s="249">
        <f>VLOOKUP(A63,'68 - Summary Exhibit'!$A$3:$O$297,3,0)</f>
        <v>21884233</v>
      </c>
      <c r="D63" s="249">
        <f>VLOOKUP(A63,'68 - Summary Exhibit'!$A$3:$O$297,15,0)</f>
        <v>64693</v>
      </c>
    </row>
    <row r="64" spans="1:4" x14ac:dyDescent="0.25">
      <c r="A64">
        <v>38205</v>
      </c>
      <c r="B64" t="s">
        <v>222</v>
      </c>
      <c r="C64" s="249">
        <f>VLOOKUP(A64,'68 - Summary Exhibit'!$A$3:$O$297,3,0)</f>
        <v>6468962</v>
      </c>
      <c r="D64" s="249">
        <f>VLOOKUP(A64,'68 - Summary Exhibit'!$A$3:$O$297,15,0)</f>
        <v>104905</v>
      </c>
    </row>
    <row r="65" spans="1:4" x14ac:dyDescent="0.25">
      <c r="A65">
        <v>36305</v>
      </c>
      <c r="B65" t="s">
        <v>223</v>
      </c>
      <c r="C65" s="249">
        <f>VLOOKUP(A65,'68 - Summary Exhibit'!$A$3:$O$297,3,0)</f>
        <v>15407863</v>
      </c>
      <c r="D65" s="249">
        <f>VLOOKUP(A65,'68 - Summary Exhibit'!$A$3:$O$297,15,0)</f>
        <v>45548</v>
      </c>
    </row>
    <row r="66" spans="1:4" x14ac:dyDescent="0.25">
      <c r="A66">
        <v>30405</v>
      </c>
      <c r="B66" t="s">
        <v>224</v>
      </c>
      <c r="C66" s="249">
        <f>VLOOKUP(A66,'68 - Summary Exhibit'!$A$3:$O$297,3,0)</f>
        <v>11250304</v>
      </c>
      <c r="D66" s="249">
        <f>VLOOKUP(A66,'68 - Summary Exhibit'!$A$3:$O$297,15,0)</f>
        <v>86569</v>
      </c>
    </row>
    <row r="67" spans="1:4" x14ac:dyDescent="0.25">
      <c r="A67">
        <v>32405</v>
      </c>
      <c r="B67" t="s">
        <v>225</v>
      </c>
      <c r="C67" s="249">
        <f>VLOOKUP(A67,'68 - Summary Exhibit'!$A$3:$O$297,3,0)</f>
        <v>7470569</v>
      </c>
      <c r="D67" s="249">
        <f>VLOOKUP(A67,'68 - Summary Exhibit'!$A$3:$O$297,15,0)</f>
        <v>22084</v>
      </c>
    </row>
    <row r="68" spans="1:4" x14ac:dyDescent="0.25">
      <c r="A68">
        <v>35005</v>
      </c>
      <c r="B68" t="s">
        <v>226</v>
      </c>
      <c r="C68" s="249">
        <f>VLOOKUP(A68,'68 - Summary Exhibit'!$A$3:$O$297,3,0)</f>
        <v>8491438</v>
      </c>
      <c r="D68" s="249">
        <f>VLOOKUP(A68,'68 - Summary Exhibit'!$A$3:$O$297,15,0)</f>
        <v>198856</v>
      </c>
    </row>
    <row r="69" spans="1:4" x14ac:dyDescent="0.25">
      <c r="A69">
        <v>38405</v>
      </c>
      <c r="B69" t="s">
        <v>227</v>
      </c>
      <c r="C69" s="249">
        <f>VLOOKUP(A69,'68 - Summary Exhibit'!$A$3:$O$297,3,0)</f>
        <v>10067933</v>
      </c>
      <c r="D69" s="249">
        <f>VLOOKUP(A69,'68 - Summary Exhibit'!$A$3:$O$297,15,0)</f>
        <v>281045</v>
      </c>
    </row>
    <row r="70" spans="1:4" x14ac:dyDescent="0.25">
      <c r="A70">
        <v>38605</v>
      </c>
      <c r="B70" t="s">
        <v>228</v>
      </c>
      <c r="C70" s="249">
        <f>VLOOKUP(A70,'68 - Summary Exhibit'!$A$3:$O$297,3,0)</f>
        <v>10968787</v>
      </c>
      <c r="D70" s="249">
        <f>VLOOKUP(A70,'68 - Summary Exhibit'!$A$3:$O$297,15,0)</f>
        <v>222436</v>
      </c>
    </row>
    <row r="71" spans="1:4" x14ac:dyDescent="0.25">
      <c r="A71">
        <v>32005</v>
      </c>
      <c r="B71" t="s">
        <v>229</v>
      </c>
      <c r="C71" s="249">
        <f>VLOOKUP(A71,'68 - Summary Exhibit'!$A$3:$O$297,3,0)</f>
        <v>5308816</v>
      </c>
      <c r="D71" s="249">
        <f>VLOOKUP(A71,'68 - Summary Exhibit'!$A$3:$O$297,15,0)</f>
        <v>117222</v>
      </c>
    </row>
    <row r="72" spans="1:4" x14ac:dyDescent="0.25">
      <c r="A72">
        <v>39105</v>
      </c>
      <c r="B72" t="s">
        <v>230</v>
      </c>
      <c r="C72" s="249">
        <f>VLOOKUP(A72,'68 - Summary Exhibit'!$A$3:$O$297,3,0)</f>
        <v>10897667</v>
      </c>
      <c r="D72" s="249">
        <f>VLOOKUP(A72,'68 - Summary Exhibit'!$A$3:$O$297,15,0)</f>
        <v>183464</v>
      </c>
    </row>
    <row r="73" spans="1:4" x14ac:dyDescent="0.25">
      <c r="A73">
        <v>39205</v>
      </c>
      <c r="B73" t="s">
        <v>231</v>
      </c>
      <c r="C73" s="249">
        <f>VLOOKUP(A73,'68 - Summary Exhibit'!$A$3:$O$297,3,0)</f>
        <v>87603609</v>
      </c>
      <c r="D73" s="249">
        <f>VLOOKUP(A73,'68 - Summary Exhibit'!$A$3:$O$297,15,0)</f>
        <v>555746</v>
      </c>
    </row>
    <row r="74" spans="1:4" x14ac:dyDescent="0.25">
      <c r="A74">
        <v>39605</v>
      </c>
      <c r="B74" t="s">
        <v>232</v>
      </c>
      <c r="C74" s="249">
        <f>VLOOKUP(A74,'68 - Summary Exhibit'!$A$3:$O$297,3,0)</f>
        <v>11960022</v>
      </c>
      <c r="D74" s="249">
        <f>VLOOKUP(A74,'68 - Summary Exhibit'!$A$3:$O$297,15,0)</f>
        <v>742350</v>
      </c>
    </row>
    <row r="75" spans="1:4" x14ac:dyDescent="0.25">
      <c r="A75">
        <v>31205</v>
      </c>
      <c r="B75" t="s">
        <v>233</v>
      </c>
      <c r="C75" s="249">
        <f>VLOOKUP(A75,'68 - Summary Exhibit'!$A$3:$O$297,3,0)</f>
        <v>6528228</v>
      </c>
      <c r="D75" s="249">
        <f>VLOOKUP(A75,'68 - Summary Exhibit'!$A$3:$O$297,15,0)</f>
        <v>19298</v>
      </c>
    </row>
    <row r="76" spans="1:4" x14ac:dyDescent="0.25">
      <c r="A76">
        <v>39705</v>
      </c>
      <c r="B76" t="s">
        <v>234</v>
      </c>
      <c r="C76" s="249">
        <f>VLOOKUP(A76,'68 - Summary Exhibit'!$A$3:$O$297,3,0)</f>
        <v>12948295</v>
      </c>
      <c r="D76" s="249">
        <f>VLOOKUP(A76,'68 - Summary Exhibit'!$A$3:$O$297,15,0)</f>
        <v>172601</v>
      </c>
    </row>
    <row r="77" spans="1:4" x14ac:dyDescent="0.25">
      <c r="A77">
        <v>39805</v>
      </c>
      <c r="B77" t="s">
        <v>235</v>
      </c>
      <c r="C77" s="249">
        <f>VLOOKUP(A77,'68 - Summary Exhibit'!$A$3:$O$297,3,0)</f>
        <v>6735662</v>
      </c>
      <c r="D77" s="249">
        <f>VLOOKUP(A77,'68 - Summary Exhibit'!$A$3:$O$297,15,0)</f>
        <v>28273</v>
      </c>
    </row>
    <row r="78" spans="1:4" x14ac:dyDescent="0.25">
      <c r="A78">
        <v>11310</v>
      </c>
      <c r="B78" t="s">
        <v>236</v>
      </c>
      <c r="C78" s="249">
        <f>VLOOKUP(A78,'68 - Summary Exhibit'!$A$3:$O$297,3,0)</f>
        <v>8827777</v>
      </c>
      <c r="D78" s="249">
        <f>VLOOKUP(A78,'68 - Summary Exhibit'!$A$3:$O$297,15,0)</f>
        <v>26096</v>
      </c>
    </row>
    <row r="79" spans="1:4" x14ac:dyDescent="0.25">
      <c r="A79" s="132">
        <v>14300.2</v>
      </c>
      <c r="B79" s="131" t="s">
        <v>237</v>
      </c>
      <c r="C79" s="249">
        <f>VLOOKUP(A79,'68 - Summary Exhibit'!$A$3:$O$297,3,0)</f>
        <v>2592919</v>
      </c>
      <c r="D79" s="249">
        <f>VLOOKUP(A79,'68 - Summary Exhibit'!$A$3:$O$297,15,0)</f>
        <v>159920</v>
      </c>
    </row>
    <row r="80" spans="1:4" x14ac:dyDescent="0.25">
      <c r="A80" s="132">
        <v>21525</v>
      </c>
      <c r="B80" s="131" t="s">
        <v>238</v>
      </c>
      <c r="C80" s="249">
        <f>VLOOKUP(A80,'68 - Summary Exhibit'!$A$3:$O$297,3,0)</f>
        <v>19503193</v>
      </c>
      <c r="D80" s="249">
        <f>VLOOKUP(A80,'68 - Summary Exhibit'!$A$3:$O$297,15,0)</f>
        <v>57654</v>
      </c>
    </row>
    <row r="81" spans="1:4" x14ac:dyDescent="0.25">
      <c r="A81" s="132">
        <v>21525.200000000001</v>
      </c>
      <c r="B81" s="131" t="s">
        <v>239</v>
      </c>
      <c r="C81" s="249">
        <f>VLOOKUP(A81,'68 - Summary Exhibit'!$A$3:$O$297,3,0)</f>
        <v>2841839</v>
      </c>
      <c r="D81" s="249">
        <f>VLOOKUP(A81,'68 - Summary Exhibit'!$A$3:$O$297,15,0)</f>
        <v>8401</v>
      </c>
    </row>
    <row r="82" spans="1:4" x14ac:dyDescent="0.25">
      <c r="A82" s="132">
        <v>51000.2</v>
      </c>
      <c r="B82" s="131" t="s">
        <v>240</v>
      </c>
      <c r="C82" s="249">
        <f>VLOOKUP(A82,'68 - Summary Exhibit'!$A$3:$O$297,3,0)</f>
        <v>746761</v>
      </c>
      <c r="D82" s="249">
        <f>VLOOKUP(A82,'68 - Summary Exhibit'!$A$3:$O$297,15,0)</f>
        <v>2208</v>
      </c>
    </row>
    <row r="83" spans="1:4" x14ac:dyDescent="0.25">
      <c r="A83" s="132">
        <v>51000.3</v>
      </c>
      <c r="B83" s="131" t="s">
        <v>241</v>
      </c>
      <c r="C83" s="249">
        <f>VLOOKUP(A83,'68 - Summary Exhibit'!$A$3:$O$297,3,0)</f>
        <v>15781244</v>
      </c>
      <c r="D83" s="249">
        <f>VLOOKUP(A83,'68 - Summary Exhibit'!$A$3:$O$297,15,0)</f>
        <v>46651</v>
      </c>
    </row>
    <row r="84" spans="1:4" x14ac:dyDescent="0.25">
      <c r="C84" s="6">
        <f>SUM(C2:C83)</f>
        <v>3213346299</v>
      </c>
      <c r="D84" s="6">
        <f>SUM(D2:D83)</f>
        <v>42476527</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f1a921d8-526c-43e3-8a93-f9bf9ad79650" xsi:nil="true"/>
    <lcf76f155ced4ddcb4097134ff3c332f xmlns="3ec2570d-002d-43d9-b4d8-cd927734fd5c">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28DAD092CE268B4A9CFCAE20B18605CD" ma:contentTypeVersion="13" ma:contentTypeDescription="Create a new document." ma:contentTypeScope="" ma:versionID="816be3f1d84d830574610c903672ebdf">
  <xsd:schema xmlns:xsd="http://www.w3.org/2001/XMLSchema" xmlns:xs="http://www.w3.org/2001/XMLSchema" xmlns:p="http://schemas.microsoft.com/office/2006/metadata/properties" xmlns:ns2="3ec2570d-002d-43d9-b4d8-cd927734fd5c" xmlns:ns3="f1a921d8-526c-43e3-8a93-f9bf9ad79650" targetNamespace="http://schemas.microsoft.com/office/2006/metadata/properties" ma:root="true" ma:fieldsID="9dcbd1f1d7f7020188508df2d0d28f0b" ns2:_="" ns3:_="">
    <xsd:import namespace="3ec2570d-002d-43d9-b4d8-cd927734fd5c"/>
    <xsd:import namespace="f1a921d8-526c-43e3-8a93-f9bf9ad79650"/>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ec2570d-002d-43d9-b4d8-cd927734fd5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d73cfa9a-e889-43e5-9e7e-099e1654cb8f"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1a921d8-526c-43e3-8a93-f9bf9ad79650"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5d7866d6-2ba6-4cf9-bf73-e51f30d4693c}" ma:internalName="TaxCatchAll" ma:showField="CatchAllData" ma:web="f1a921d8-526c-43e3-8a93-f9bf9ad7965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56688B4-B59A-4F82-9771-DCF5729F945F}">
  <ds:schemaRefs>
    <ds:schemaRef ds:uri="http://schemas.microsoft.com/office/2006/metadata/properties"/>
    <ds:schemaRef ds:uri="http://schemas.microsoft.com/office/infopath/2007/PartnerControls"/>
    <ds:schemaRef ds:uri="f1a921d8-526c-43e3-8a93-f9bf9ad79650"/>
    <ds:schemaRef ds:uri="3ec2570d-002d-43d9-b4d8-cd927734fd5c"/>
  </ds:schemaRefs>
</ds:datastoreItem>
</file>

<file path=customXml/itemProps2.xml><?xml version="1.0" encoding="utf-8"?>
<ds:datastoreItem xmlns:ds="http://schemas.openxmlformats.org/officeDocument/2006/customXml" ds:itemID="{67937003-03CF-40FD-B345-0030AAB44F3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ec2570d-002d-43d9-b4d8-cd927734fd5c"/>
    <ds:schemaRef ds:uri="f1a921d8-526c-43e3-8a93-f9bf9ad7965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C0C09E0-1B51-453F-9825-36153BBDF11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10</vt:i4>
      </vt:variant>
    </vt:vector>
  </HeadingPairs>
  <TitlesOfParts>
    <vt:vector size="19" baseType="lpstr">
      <vt:lpstr>Info</vt:lpstr>
      <vt:lpstr>Detail</vt:lpstr>
      <vt:lpstr>Summary</vt:lpstr>
      <vt:lpstr>Disclosures</vt:lpstr>
      <vt:lpstr>Data</vt:lpstr>
      <vt:lpstr>ER Contributions</vt:lpstr>
      <vt:lpstr>68 - Summary Exhibit</vt:lpstr>
      <vt:lpstr>68- Deferred Amortization</vt:lpstr>
      <vt:lpstr>CUpensionamts</vt:lpstr>
      <vt:lpstr>'68 - Summary Exhibit'!Print_Area</vt:lpstr>
      <vt:lpstr>'68- Deferred Amortization'!Print_Area</vt:lpstr>
      <vt:lpstr>Data!Print_Area</vt:lpstr>
      <vt:lpstr>Detail!Print_Area</vt:lpstr>
      <vt:lpstr>Disclosures!Print_Area</vt:lpstr>
      <vt:lpstr>'ER Contributions'!Print_Area</vt:lpstr>
      <vt:lpstr>Summary!Print_Area</vt:lpstr>
      <vt:lpstr>'68- Deferred Amortization'!Print_Titles</vt:lpstr>
      <vt:lpstr>Data!Print_Titles</vt:lpstr>
      <vt:lpstr>Disclosures!Print_Titles</vt:lpstr>
    </vt:vector>
  </TitlesOfParts>
  <Manager/>
  <Company>State of North Carolina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Clayton Murphy</dc:creator>
  <cp:keywords/>
  <dc:description/>
  <cp:lastModifiedBy>Virginia Sisson</cp:lastModifiedBy>
  <cp:revision/>
  <dcterms:created xsi:type="dcterms:W3CDTF">2007-09-03T15:01:56Z</dcterms:created>
  <dcterms:modified xsi:type="dcterms:W3CDTF">2025-06-13T15:16:18Z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MSIP_Label_defa4170-0d19-0005-0004-bc88714345d2_Enabled">
    <vt:lpwstr>true</vt:lpwstr>
  </property>
  <property fmtid="{D5CDD505-2E9C-101B-9397-08002B2CF9AE}" pid="5" name="MSIP_Label_defa4170-0d19-0005-0004-bc88714345d2_SetDate">
    <vt:lpwstr>2024-04-15T17:41:25Z</vt:lpwstr>
  </property>
  <property fmtid="{D5CDD505-2E9C-101B-9397-08002B2CF9AE}" pid="6" name="MSIP_Label_defa4170-0d19-0005-0004-bc88714345d2_Method">
    <vt:lpwstr>Standard</vt:lpwstr>
  </property>
  <property fmtid="{D5CDD505-2E9C-101B-9397-08002B2CF9AE}" pid="7" name="MSIP_Label_defa4170-0d19-0005-0004-bc88714345d2_Name">
    <vt:lpwstr>defa4170-0d19-0005-0004-bc88714345d2</vt:lpwstr>
  </property>
  <property fmtid="{D5CDD505-2E9C-101B-9397-08002B2CF9AE}" pid="8" name="MSIP_Label_defa4170-0d19-0005-0004-bc88714345d2_SiteId">
    <vt:lpwstr>a1f43f48-54fe-433f-9378-968b45bc6665</vt:lpwstr>
  </property>
  <property fmtid="{D5CDD505-2E9C-101B-9397-08002B2CF9AE}" pid="9" name="MSIP_Label_defa4170-0d19-0005-0004-bc88714345d2_ActionId">
    <vt:lpwstr>df5fe6b6-d49d-4c21-94c4-daf93187da5e</vt:lpwstr>
  </property>
  <property fmtid="{D5CDD505-2E9C-101B-9397-08002B2CF9AE}" pid="10" name="MSIP_Label_defa4170-0d19-0005-0004-bc88714345d2_ContentBits">
    <vt:lpwstr>0</vt:lpwstr>
  </property>
  <property fmtid="{D5CDD505-2E9C-101B-9397-08002B2CF9AE}" pid="11" name="ContentTypeId">
    <vt:lpwstr>0x01010028DAD092CE268B4A9CFCAE20B18605CD</vt:lpwstr>
  </property>
  <property fmtid="{D5CDD505-2E9C-101B-9397-08002B2CF9AE}" pid="12" name="MediaServiceImageTags">
    <vt:lpwstr/>
  </property>
</Properties>
</file>